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Ex1.xml" ContentType="application/vnd.ms-office.chartex+xml"/>
  <Override PartName="/xl/charts/style4.xml" ContentType="application/vnd.ms-office.chartstyle+xml"/>
  <Override PartName="/xl/charts/colors4.xml" ContentType="application/vnd.ms-office.chartcolorstyle+xml"/>
  <Override PartName="/xl/charts/chartEx2.xml" ContentType="application/vnd.ms-office.chartex+xml"/>
  <Override PartName="/xl/charts/style5.xml" ContentType="application/vnd.ms-office.chartstyle+xml"/>
  <Override PartName="/xl/charts/colors5.xml" ContentType="application/vnd.ms-office.chartcolorstyle+xml"/>
  <Override PartName="/xl/charts/chartEx3.xml" ContentType="application/vnd.ms-office.chartex+xml"/>
  <Override PartName="/xl/charts/style6.xml" ContentType="application/vnd.ms-office.chartstyle+xml"/>
  <Override PartName="/xl/charts/colors6.xml" ContentType="application/vnd.ms-office.chartcolorstyle+xml"/>
  <Override PartName="/xl/charts/chart4.xml" ContentType="application/vnd.openxmlformats-officedocument.drawingml.chart+xml"/>
  <Override PartName="/xl/charts/style7.xml" ContentType="application/vnd.ms-office.chartstyle+xml"/>
  <Override PartName="/xl/charts/colors7.xml" ContentType="application/vnd.ms-office.chartcolorstyle+xml"/>
  <Override PartName="/xl/charts/chart5.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6.xml" ContentType="application/vnd.openxmlformats-officedocument.drawingml.chart+xml"/>
  <Override PartName="/xl/charts/style9.xml" ContentType="application/vnd.ms-office.chartstyle+xml"/>
  <Override PartName="/xl/charts/colors9.xml" ContentType="application/vnd.ms-office.chartcolorstyle+xml"/>
  <Override PartName="/xl/charts/chart7.xml" ContentType="application/vnd.openxmlformats-officedocument.drawingml.chart+xml"/>
  <Override PartName="/xl/charts/style10.xml" ContentType="application/vnd.ms-office.chartstyle+xml"/>
  <Override PartName="/xl/charts/colors10.xml" ContentType="application/vnd.ms-office.chartcolorstyle+xml"/>
  <Override PartName="/xl/charts/chart8.xml" ContentType="application/vnd.openxmlformats-officedocument.drawingml.chart+xml"/>
  <Override PartName="/xl/charts/style11.xml" ContentType="application/vnd.ms-office.chartstyle+xml"/>
  <Override PartName="/xl/charts/colors11.xml" ContentType="application/vnd.ms-office.chartcolorstyle+xml"/>
  <Override PartName="/xl/charts/chart9.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xml" ContentType="application/vnd.openxmlformats-officedocument.themeOverrid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codeName="ThisWorkbook" defaultThemeVersion="166925"/>
  <mc:AlternateContent xmlns:mc="http://schemas.openxmlformats.org/markup-compatibility/2006">
    <mc:Choice Requires="x15">
      <x15ac:absPath xmlns:x15ac="http://schemas.microsoft.com/office/spreadsheetml/2010/11/ac" url="/Users/whitegum/Dropbox/Arauco2-share/Documents/Papers/Pines V Eucs/"/>
    </mc:Choice>
  </mc:AlternateContent>
  <xr:revisionPtr revIDLastSave="0" documentId="13_ncr:1_{B83C1D46-BFDB-6A47-AC58-1FA148C4424F}" xr6:coauthVersionLast="47" xr6:coauthVersionMax="47" xr10:uidLastSave="{00000000-0000-0000-0000-000000000000}"/>
  <bookViews>
    <workbookView xWindow="0" yWindow="500" windowWidth="32000" windowHeight="17500" xr2:uid="{A933D574-5FEA-D147-B2D2-4292460869E1}"/>
  </bookViews>
  <sheets>
    <sheet name="VEE vs CWI" sheetId="2" r:id="rId1"/>
    <sheet name="ET and VEE vs P" sheetId="3" r:id="rId2"/>
  </sheets>
  <definedNames>
    <definedName name="_xlchart.v1.0" hidden="1">'VEE vs CWI'!$A$5:$A$59</definedName>
    <definedName name="_xlchart.v1.1" hidden="1">'VEE vs CWI'!$Y$5:$Y$59</definedName>
    <definedName name="_xlchart.v1.2" hidden="1">'VEE vs CWI'!$A$5:$A$55</definedName>
    <definedName name="_xlchart.v1.3" hidden="1">'VEE vs CWI'!$X$5:$X$55</definedName>
    <definedName name="_xlchart.v1.4" hidden="1">'VEE vs CWI'!$A$5:$A$59</definedName>
    <definedName name="_xlchart.v1.5" hidden="1">'VEE vs CWI'!$O$5:$O$59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G75" i="3" l="1"/>
  <c r="AG76" i="3" s="1"/>
  <c r="AG77" i="3" s="1"/>
  <c r="AG78" i="3" s="1"/>
  <c r="AG79" i="3" s="1"/>
  <c r="AG80" i="3" s="1"/>
  <c r="AG81" i="3" s="1"/>
  <c r="AG82" i="3" s="1"/>
  <c r="AG83" i="3" s="1"/>
  <c r="AG84" i="3" s="1"/>
  <c r="AG85" i="3" s="1"/>
  <c r="AG86" i="3" s="1"/>
  <c r="AG98" i="3"/>
  <c r="AG99" i="3" s="1"/>
  <c r="AD102" i="3"/>
  <c r="AD101" i="3"/>
  <c r="AA10" i="3"/>
  <c r="AH74" i="3"/>
  <c r="AH73" i="3"/>
  <c r="W89" i="3"/>
  <c r="V89" i="3"/>
  <c r="U89" i="3"/>
  <c r="W88" i="3"/>
  <c r="V88" i="3"/>
  <c r="X88" i="3" s="1"/>
  <c r="U88" i="3"/>
  <c r="W87" i="3"/>
  <c r="X87" i="3" s="1"/>
  <c r="V87" i="3"/>
  <c r="U87" i="3"/>
  <c r="W86" i="3"/>
  <c r="V86" i="3"/>
  <c r="U86" i="3"/>
  <c r="W85" i="3"/>
  <c r="V85" i="3"/>
  <c r="U85" i="3"/>
  <c r="W84" i="3"/>
  <c r="V84" i="3"/>
  <c r="U84" i="3"/>
  <c r="W83" i="3"/>
  <c r="V83" i="3"/>
  <c r="X83" i="3" s="1"/>
  <c r="U83" i="3"/>
  <c r="W82" i="3"/>
  <c r="V82" i="3"/>
  <c r="U82" i="3"/>
  <c r="W81" i="3"/>
  <c r="V81" i="3"/>
  <c r="U81" i="3"/>
  <c r="W80" i="3"/>
  <c r="V80" i="3"/>
  <c r="X80" i="3" s="1"/>
  <c r="U80" i="3"/>
  <c r="W79" i="3"/>
  <c r="V79" i="3"/>
  <c r="U79" i="3"/>
  <c r="W78" i="3"/>
  <c r="V78" i="3"/>
  <c r="U78" i="3"/>
  <c r="W77" i="3"/>
  <c r="V77" i="3"/>
  <c r="X77" i="3" s="1"/>
  <c r="U77" i="3"/>
  <c r="W76" i="3"/>
  <c r="V76" i="3"/>
  <c r="U76" i="3"/>
  <c r="W75" i="3"/>
  <c r="V75" i="3"/>
  <c r="X75" i="3" s="1"/>
  <c r="U75" i="3"/>
  <c r="W74" i="3"/>
  <c r="V74" i="3"/>
  <c r="U74" i="3"/>
  <c r="W73" i="3"/>
  <c r="V73" i="3"/>
  <c r="U73" i="3"/>
  <c r="W72" i="3"/>
  <c r="V72" i="3"/>
  <c r="U72" i="3"/>
  <c r="W71" i="3"/>
  <c r="V71" i="3"/>
  <c r="X71" i="3" s="1"/>
  <c r="U71" i="3"/>
  <c r="W70" i="3"/>
  <c r="V70" i="3"/>
  <c r="U70" i="3"/>
  <c r="W69" i="3"/>
  <c r="V69" i="3"/>
  <c r="U69" i="3"/>
  <c r="W68" i="3"/>
  <c r="V68" i="3"/>
  <c r="U68" i="3"/>
  <c r="AA66" i="3"/>
  <c r="S66" i="3"/>
  <c r="T66" i="3" s="1"/>
  <c r="P66" i="3"/>
  <c r="R66" i="3" s="1"/>
  <c r="O66" i="3"/>
  <c r="N66" i="3"/>
  <c r="AA65" i="3"/>
  <c r="S65" i="3"/>
  <c r="P65" i="3"/>
  <c r="R65" i="3" s="1"/>
  <c r="W65" i="3" s="1"/>
  <c r="O65" i="3"/>
  <c r="N65" i="3"/>
  <c r="AA64" i="3"/>
  <c r="X64" i="3"/>
  <c r="O64" i="3" s="1"/>
  <c r="S64" i="3"/>
  <c r="T64" i="3" s="1"/>
  <c r="R64" i="3"/>
  <c r="V64" i="3" s="1"/>
  <c r="N64" i="3"/>
  <c r="AA63" i="3"/>
  <c r="X63" i="3"/>
  <c r="O63" i="3" s="1"/>
  <c r="S63" i="3"/>
  <c r="T63" i="3" s="1"/>
  <c r="R63" i="3"/>
  <c r="V63" i="3" s="1"/>
  <c r="N63" i="3"/>
  <c r="AA62" i="3"/>
  <c r="S62" i="3"/>
  <c r="T62" i="3" s="1"/>
  <c r="R62" i="3"/>
  <c r="W62" i="3" s="1"/>
  <c r="O62" i="3"/>
  <c r="N62" i="3"/>
  <c r="AA61" i="3"/>
  <c r="S61" i="3"/>
  <c r="R61" i="3"/>
  <c r="W61" i="3" s="1"/>
  <c r="O61" i="3"/>
  <c r="N61" i="3"/>
  <c r="AA60" i="3"/>
  <c r="S60" i="3"/>
  <c r="R60" i="3"/>
  <c r="W60" i="3" s="1"/>
  <c r="O60" i="3"/>
  <c r="N60" i="3"/>
  <c r="AA59" i="3"/>
  <c r="S59" i="3"/>
  <c r="R59" i="3"/>
  <c r="V59" i="3" s="1"/>
  <c r="O59" i="3"/>
  <c r="N59" i="3"/>
  <c r="E59" i="3"/>
  <c r="AA58" i="3"/>
  <c r="S58" i="3"/>
  <c r="R58" i="3"/>
  <c r="V58" i="3" s="1"/>
  <c r="O58" i="3"/>
  <c r="N58" i="3"/>
  <c r="AA57" i="3"/>
  <c r="W57" i="3"/>
  <c r="AB57" i="3" s="1"/>
  <c r="S57" i="3"/>
  <c r="T57" i="3" s="1"/>
  <c r="R57" i="3"/>
  <c r="U57" i="3" s="1"/>
  <c r="O57" i="3"/>
  <c r="N57" i="3"/>
  <c r="AA56" i="3"/>
  <c r="S56" i="3"/>
  <c r="R56" i="3"/>
  <c r="W56" i="3" s="1"/>
  <c r="O56" i="3"/>
  <c r="N56" i="3"/>
  <c r="I56" i="3"/>
  <c r="E56" i="3"/>
  <c r="D56" i="3"/>
  <c r="AA55" i="3"/>
  <c r="S55" i="3"/>
  <c r="R55" i="3"/>
  <c r="V55" i="3" s="1"/>
  <c r="O55" i="3"/>
  <c r="N55" i="3"/>
  <c r="I55" i="3"/>
  <c r="E55" i="3"/>
  <c r="D55" i="3"/>
  <c r="AA54" i="3"/>
  <c r="V54" i="3"/>
  <c r="S54" i="3"/>
  <c r="R54" i="3"/>
  <c r="W54" i="3" s="1"/>
  <c r="O54" i="3"/>
  <c r="N54" i="3"/>
  <c r="I54" i="3"/>
  <c r="E54" i="3"/>
  <c r="D54" i="3"/>
  <c r="AA53" i="3"/>
  <c r="W53" i="3"/>
  <c r="AB53" i="3" s="1"/>
  <c r="S53" i="3"/>
  <c r="R53" i="3"/>
  <c r="U53" i="3" s="1"/>
  <c r="O53" i="3"/>
  <c r="N53" i="3"/>
  <c r="D53" i="3"/>
  <c r="AA52" i="3"/>
  <c r="S52" i="3"/>
  <c r="R52" i="3"/>
  <c r="V52" i="3" s="1"/>
  <c r="O52" i="3"/>
  <c r="N52" i="3"/>
  <c r="AA51" i="3"/>
  <c r="S51" i="3"/>
  <c r="R51" i="3"/>
  <c r="V51" i="3" s="1"/>
  <c r="O51" i="3"/>
  <c r="N51" i="3"/>
  <c r="AA50" i="3"/>
  <c r="S50" i="3"/>
  <c r="R50" i="3"/>
  <c r="W50" i="3" s="1"/>
  <c r="O50" i="3"/>
  <c r="N50" i="3"/>
  <c r="AA49" i="3"/>
  <c r="S49" i="3"/>
  <c r="R49" i="3"/>
  <c r="W49" i="3" s="1"/>
  <c r="O49" i="3"/>
  <c r="N49" i="3"/>
  <c r="AA48" i="3"/>
  <c r="S48" i="3"/>
  <c r="R48" i="3"/>
  <c r="V48" i="3" s="1"/>
  <c r="O48" i="3"/>
  <c r="N48" i="3"/>
  <c r="AA47" i="3"/>
  <c r="S47" i="3"/>
  <c r="T47" i="3" s="1"/>
  <c r="R47" i="3"/>
  <c r="O47" i="3"/>
  <c r="N47" i="3"/>
  <c r="AA46" i="3"/>
  <c r="S46" i="3"/>
  <c r="R46" i="3"/>
  <c r="W46" i="3" s="1"/>
  <c r="O46" i="3"/>
  <c r="N46" i="3"/>
  <c r="AA45" i="3"/>
  <c r="S45" i="3"/>
  <c r="T45" i="3" s="1"/>
  <c r="R45" i="3"/>
  <c r="W45" i="3" s="1"/>
  <c r="AB45" i="3" s="1"/>
  <c r="O45" i="3"/>
  <c r="N45" i="3"/>
  <c r="AA44" i="3"/>
  <c r="S44" i="3"/>
  <c r="R44" i="3"/>
  <c r="O44" i="3"/>
  <c r="N44" i="3"/>
  <c r="AA43" i="3"/>
  <c r="W43" i="3"/>
  <c r="AB43" i="3" s="1"/>
  <c r="S43" i="3"/>
  <c r="R43" i="3"/>
  <c r="U43" i="3" s="1"/>
  <c r="O43" i="3"/>
  <c r="N43" i="3"/>
  <c r="AA42" i="3"/>
  <c r="V42" i="3"/>
  <c r="U42" i="3"/>
  <c r="S42" i="3"/>
  <c r="R42" i="3"/>
  <c r="W42" i="3" s="1"/>
  <c r="O42" i="3"/>
  <c r="N42" i="3"/>
  <c r="AA41" i="3"/>
  <c r="S41" i="3"/>
  <c r="T41" i="3" s="1"/>
  <c r="R41" i="3"/>
  <c r="V41" i="3" s="1"/>
  <c r="O41" i="3"/>
  <c r="N41" i="3"/>
  <c r="AA40" i="3"/>
  <c r="S40" i="3"/>
  <c r="R40" i="3"/>
  <c r="U40" i="3" s="1"/>
  <c r="O40" i="3"/>
  <c r="N40" i="3"/>
  <c r="AA39" i="3"/>
  <c r="S39" i="3"/>
  <c r="R39" i="3"/>
  <c r="O39" i="3"/>
  <c r="N39" i="3"/>
  <c r="AA38" i="3"/>
  <c r="S38" i="3"/>
  <c r="R38" i="3"/>
  <c r="W38" i="3" s="1"/>
  <c r="O38" i="3"/>
  <c r="N38" i="3"/>
  <c r="AA37" i="3"/>
  <c r="S37" i="3"/>
  <c r="R37" i="3"/>
  <c r="W37" i="3" s="1"/>
  <c r="AB37" i="3" s="1"/>
  <c r="O37" i="3"/>
  <c r="N37" i="3"/>
  <c r="AA36" i="3"/>
  <c r="R36" i="3"/>
  <c r="O36" i="3"/>
  <c r="N36" i="3"/>
  <c r="AA35" i="3"/>
  <c r="S35" i="3" s="1"/>
  <c r="T35" i="3" s="1"/>
  <c r="P35" i="3"/>
  <c r="R35" i="3" s="1"/>
  <c r="O35" i="3"/>
  <c r="N35" i="3"/>
  <c r="AA34" i="3"/>
  <c r="S34" i="3"/>
  <c r="T34" i="3" s="1"/>
  <c r="R34" i="3"/>
  <c r="U34" i="3" s="1"/>
  <c r="O34" i="3"/>
  <c r="N34" i="3"/>
  <c r="AA33" i="3"/>
  <c r="R33" i="3"/>
  <c r="W33" i="3" s="1"/>
  <c r="O33" i="3"/>
  <c r="N33" i="3"/>
  <c r="AA32" i="3"/>
  <c r="W32" i="3"/>
  <c r="U32" i="3"/>
  <c r="R32" i="3"/>
  <c r="V32" i="3" s="1"/>
  <c r="O32" i="3"/>
  <c r="N32" i="3"/>
  <c r="AA31" i="3"/>
  <c r="S31" i="3" s="1"/>
  <c r="T31" i="3" s="1"/>
  <c r="R31" i="3"/>
  <c r="U31" i="3" s="1"/>
  <c r="O31" i="3"/>
  <c r="N31" i="3"/>
  <c r="AA30" i="3"/>
  <c r="S30" i="3" s="1"/>
  <c r="T30" i="3" s="1"/>
  <c r="R30" i="3"/>
  <c r="U30" i="3" s="1"/>
  <c r="O30" i="3"/>
  <c r="N30" i="3"/>
  <c r="AA29" i="3"/>
  <c r="R29" i="3"/>
  <c r="O29" i="3"/>
  <c r="N29" i="3"/>
  <c r="AA28" i="3"/>
  <c r="R28" i="3"/>
  <c r="V28" i="3" s="1"/>
  <c r="AB28" i="3" s="1"/>
  <c r="O28" i="3"/>
  <c r="N28" i="3"/>
  <c r="AA27" i="3"/>
  <c r="R27" i="3"/>
  <c r="W27" i="3" s="1"/>
  <c r="O27" i="3"/>
  <c r="N27" i="3"/>
  <c r="AA26" i="3"/>
  <c r="S26" i="3" s="1"/>
  <c r="T26" i="3" s="1"/>
  <c r="R26" i="3"/>
  <c r="U26" i="3" s="1"/>
  <c r="O26" i="3"/>
  <c r="N26" i="3"/>
  <c r="AA25" i="3"/>
  <c r="R25" i="3"/>
  <c r="W25" i="3" s="1"/>
  <c r="O25" i="3"/>
  <c r="N25" i="3"/>
  <c r="AA24" i="3"/>
  <c r="R24" i="3"/>
  <c r="V24" i="3" s="1"/>
  <c r="O24" i="3"/>
  <c r="N24" i="3"/>
  <c r="AA23" i="3"/>
  <c r="S23" i="3"/>
  <c r="R23" i="3"/>
  <c r="U23" i="3" s="1"/>
  <c r="O23" i="3"/>
  <c r="N23" i="3"/>
  <c r="AA22" i="3"/>
  <c r="S22" i="3" s="1"/>
  <c r="T22" i="3" s="1"/>
  <c r="R22" i="3"/>
  <c r="O22" i="3"/>
  <c r="N22" i="3"/>
  <c r="AA21" i="3"/>
  <c r="R21" i="3"/>
  <c r="O21" i="3"/>
  <c r="N21" i="3"/>
  <c r="AA20" i="3"/>
  <c r="S20" i="3" s="1"/>
  <c r="R20" i="3"/>
  <c r="V20" i="3" s="1"/>
  <c r="AB20" i="3" s="1"/>
  <c r="O20" i="3"/>
  <c r="N20" i="3"/>
  <c r="AA19" i="3"/>
  <c r="R19" i="3"/>
  <c r="O19" i="3"/>
  <c r="N19" i="3"/>
  <c r="AA18" i="3"/>
  <c r="S18" i="3" s="1"/>
  <c r="T18" i="3" s="1"/>
  <c r="R18" i="3"/>
  <c r="V18" i="3" s="1"/>
  <c r="AB18" i="3" s="1"/>
  <c r="O18" i="3"/>
  <c r="N18" i="3"/>
  <c r="AA17" i="3"/>
  <c r="R17" i="3"/>
  <c r="W17" i="3" s="1"/>
  <c r="O17" i="3"/>
  <c r="N17" i="3"/>
  <c r="AA16" i="3"/>
  <c r="S16" i="3" s="1"/>
  <c r="T16" i="3" s="1"/>
  <c r="R16" i="3"/>
  <c r="V16" i="3" s="1"/>
  <c r="O16" i="3"/>
  <c r="N16" i="3"/>
  <c r="AA15" i="3"/>
  <c r="S15" i="3" s="1"/>
  <c r="T15" i="3" s="1"/>
  <c r="V15" i="3"/>
  <c r="AB15" i="3" s="1"/>
  <c r="R15" i="3"/>
  <c r="W15" i="3" s="1"/>
  <c r="O15" i="3"/>
  <c r="N15" i="3"/>
  <c r="AA14" i="3"/>
  <c r="S14" i="3" s="1"/>
  <c r="T14" i="3" s="1"/>
  <c r="R14" i="3"/>
  <c r="O14" i="3"/>
  <c r="N14" i="3"/>
  <c r="AV13" i="3"/>
  <c r="AA13" i="3"/>
  <c r="S13" i="3" s="1"/>
  <c r="T13" i="3" s="1"/>
  <c r="R13" i="3"/>
  <c r="O13" i="3"/>
  <c r="N13" i="3"/>
  <c r="AA12" i="3"/>
  <c r="R12" i="3"/>
  <c r="O12" i="3"/>
  <c r="N12" i="3"/>
  <c r="AA11" i="3"/>
  <c r="R11" i="3"/>
  <c r="W11" i="3" s="1"/>
  <c r="O11" i="3"/>
  <c r="N11" i="3"/>
  <c r="R10" i="3"/>
  <c r="W10" i="3" s="1"/>
  <c r="O10" i="3"/>
  <c r="N10" i="3"/>
  <c r="U63" i="2"/>
  <c r="R31" i="2"/>
  <c r="U31" i="2" s="1"/>
  <c r="AA31" i="2"/>
  <c r="S31" i="2" s="1"/>
  <c r="T31" i="2" s="1"/>
  <c r="O31" i="2"/>
  <c r="N31" i="2"/>
  <c r="AA30" i="2"/>
  <c r="S30" i="2" s="1"/>
  <c r="T30" i="2" s="1"/>
  <c r="P30" i="2"/>
  <c r="R30" i="2" s="1"/>
  <c r="O30" i="2"/>
  <c r="N30" i="2"/>
  <c r="AA61" i="2"/>
  <c r="S61" i="2"/>
  <c r="P61" i="2"/>
  <c r="R61" i="2" s="1"/>
  <c r="U61" i="2" s="1"/>
  <c r="O61" i="2"/>
  <c r="N61" i="2"/>
  <c r="P60" i="2"/>
  <c r="R60" i="2" s="1"/>
  <c r="AA60" i="2"/>
  <c r="S60" i="2"/>
  <c r="T60" i="2" s="1"/>
  <c r="O60" i="2"/>
  <c r="N60" i="2"/>
  <c r="N59" i="2"/>
  <c r="V45" i="3" l="1"/>
  <c r="X69" i="3"/>
  <c r="T53" i="3"/>
  <c r="V53" i="3"/>
  <c r="V57" i="3"/>
  <c r="T49" i="3"/>
  <c r="U52" i="3"/>
  <c r="T60" i="3"/>
  <c r="T39" i="3"/>
  <c r="T42" i="3"/>
  <c r="T55" i="3"/>
  <c r="T65" i="3"/>
  <c r="X76" i="3"/>
  <c r="X81" i="3"/>
  <c r="U37" i="3"/>
  <c r="V40" i="3"/>
  <c r="W52" i="3"/>
  <c r="AB52" i="3" s="1"/>
  <c r="X82" i="3"/>
  <c r="T44" i="3"/>
  <c r="X72" i="3"/>
  <c r="U18" i="3"/>
  <c r="V11" i="3"/>
  <c r="AB11" i="3" s="1"/>
  <c r="AC11" i="3" s="1"/>
  <c r="W18" i="3"/>
  <c r="V23" i="3"/>
  <c r="AB23" i="3" s="1"/>
  <c r="AC23" i="3" s="1"/>
  <c r="V26" i="3"/>
  <c r="V17" i="3"/>
  <c r="AB17" i="3" s="1"/>
  <c r="W23" i="3"/>
  <c r="W26" i="3"/>
  <c r="V34" i="3"/>
  <c r="AB34" i="3" s="1"/>
  <c r="AC34" i="3" s="1"/>
  <c r="W20" i="3"/>
  <c r="U25" i="3"/>
  <c r="W28" i="3"/>
  <c r="W34" i="3"/>
  <c r="V25" i="3"/>
  <c r="AB25" i="3" s="1"/>
  <c r="U33" i="3"/>
  <c r="V50" i="3"/>
  <c r="X85" i="3"/>
  <c r="W16" i="3"/>
  <c r="X73" i="3"/>
  <c r="T38" i="3"/>
  <c r="U64" i="3"/>
  <c r="T40" i="3"/>
  <c r="U41" i="3"/>
  <c r="U45" i="3"/>
  <c r="X79" i="3"/>
  <c r="X89" i="3"/>
  <c r="V66" i="3"/>
  <c r="W66" i="3"/>
  <c r="AB66" i="3" s="1"/>
  <c r="U66" i="3"/>
  <c r="AG87" i="3"/>
  <c r="AH86" i="3"/>
  <c r="U17" i="3"/>
  <c r="W31" i="3"/>
  <c r="W40" i="3"/>
  <c r="AB40" i="3" s="1"/>
  <c r="AC40" i="3" s="1"/>
  <c r="W41" i="3"/>
  <c r="AB41" i="3" s="1"/>
  <c r="AC41" i="3" s="1"/>
  <c r="W51" i="3"/>
  <c r="AB51" i="3" s="1"/>
  <c r="AC51" i="3" s="1"/>
  <c r="T58" i="3"/>
  <c r="W59" i="3"/>
  <c r="AB59" i="3" s="1"/>
  <c r="AC59" i="3" s="1"/>
  <c r="T50" i="3"/>
  <c r="T54" i="3"/>
  <c r="W58" i="3"/>
  <c r="AB58" i="3" s="1"/>
  <c r="AC58" i="3" s="1"/>
  <c r="X78" i="3"/>
  <c r="U11" i="3"/>
  <c r="U16" i="3"/>
  <c r="T46" i="3"/>
  <c r="T61" i="3"/>
  <c r="X74" i="3"/>
  <c r="U20" i="3"/>
  <c r="U24" i="3"/>
  <c r="U28" i="3"/>
  <c r="V33" i="3"/>
  <c r="AB33" i="3" s="1"/>
  <c r="AC33" i="3" s="1"/>
  <c r="V37" i="3"/>
  <c r="T43" i="3"/>
  <c r="T48" i="3"/>
  <c r="U49" i="3"/>
  <c r="W55" i="3"/>
  <c r="AB55" i="3" s="1"/>
  <c r="AC55" i="3" s="1"/>
  <c r="T56" i="3"/>
  <c r="U63" i="3"/>
  <c r="W64" i="3"/>
  <c r="AB64" i="3" s="1"/>
  <c r="AC64" i="3" s="1"/>
  <c r="W24" i="3"/>
  <c r="V43" i="3"/>
  <c r="W48" i="3"/>
  <c r="AB48" i="3" s="1"/>
  <c r="AC48" i="3" s="1"/>
  <c r="T52" i="3"/>
  <c r="W63" i="3"/>
  <c r="AB63" i="3" s="1"/>
  <c r="AC63" i="3" s="1"/>
  <c r="X70" i="3"/>
  <c r="X86" i="3"/>
  <c r="X68" i="3"/>
  <c r="X84" i="3"/>
  <c r="AC37" i="3"/>
  <c r="AC28" i="3"/>
  <c r="V31" i="3"/>
  <c r="AB31" i="3" s="1"/>
  <c r="AC31" i="3" s="1"/>
  <c r="T51" i="3"/>
  <c r="T59" i="3"/>
  <c r="AH90" i="3"/>
  <c r="V31" i="2"/>
  <c r="AB31" i="2" s="1"/>
  <c r="W61" i="2"/>
  <c r="V61" i="2"/>
  <c r="AH76" i="3"/>
  <c r="AH75" i="3"/>
  <c r="AB16" i="3"/>
  <c r="AC16" i="3" s="1"/>
  <c r="W13" i="3"/>
  <c r="V13" i="3"/>
  <c r="U19" i="3"/>
  <c r="V19" i="3"/>
  <c r="W22" i="3"/>
  <c r="V22" i="3"/>
  <c r="S25" i="3"/>
  <c r="AC25" i="3"/>
  <c r="T37" i="3"/>
  <c r="AC43" i="3"/>
  <c r="W14" i="3"/>
  <c r="V14" i="3"/>
  <c r="S17" i="3"/>
  <c r="AC17" i="3"/>
  <c r="W19" i="3"/>
  <c r="W35" i="3"/>
  <c r="U35" i="3"/>
  <c r="U36" i="3"/>
  <c r="V36" i="3"/>
  <c r="W39" i="3"/>
  <c r="V39" i="3"/>
  <c r="AB56" i="3"/>
  <c r="S19" i="3"/>
  <c r="AB26" i="3"/>
  <c r="W36" i="3"/>
  <c r="W47" i="3"/>
  <c r="V47" i="3"/>
  <c r="U47" i="3"/>
  <c r="AB60" i="3"/>
  <c r="AC60" i="3" s="1"/>
  <c r="AC18" i="3"/>
  <c r="W12" i="3"/>
  <c r="V12" i="3"/>
  <c r="U12" i="3"/>
  <c r="T20" i="3"/>
  <c r="W21" i="3"/>
  <c r="V21" i="3"/>
  <c r="U21" i="3"/>
  <c r="S27" i="3"/>
  <c r="AC45" i="3"/>
  <c r="AB65" i="3"/>
  <c r="S10" i="3"/>
  <c r="U13" i="3"/>
  <c r="AB32" i="3"/>
  <c r="AC32" i="3" s="1"/>
  <c r="U22" i="3"/>
  <c r="U14" i="3"/>
  <c r="AC20" i="3"/>
  <c r="T23" i="3"/>
  <c r="V35" i="3"/>
  <c r="U39" i="3"/>
  <c r="AB42" i="3"/>
  <c r="AC42" i="3" s="1"/>
  <c r="AB24" i="3"/>
  <c r="AC24" i="3" s="1"/>
  <c r="S33" i="3"/>
  <c r="U44" i="3"/>
  <c r="V44" i="3"/>
  <c r="AB62" i="3"/>
  <c r="S28" i="3"/>
  <c r="AB38" i="3"/>
  <c r="S11" i="3"/>
  <c r="AC15" i="3"/>
  <c r="U27" i="3"/>
  <c r="V27" i="3"/>
  <c r="W29" i="3"/>
  <c r="V29" i="3"/>
  <c r="U29" i="3"/>
  <c r="W30" i="3"/>
  <c r="V30" i="3"/>
  <c r="W44" i="3"/>
  <c r="AB50" i="3"/>
  <c r="AB54" i="3"/>
  <c r="U10" i="3"/>
  <c r="V10" i="3"/>
  <c r="AB46" i="3"/>
  <c r="AB49" i="3"/>
  <c r="AC49" i="3" s="1"/>
  <c r="AB61" i="3"/>
  <c r="S24" i="3"/>
  <c r="S32" i="3"/>
  <c r="U51" i="3"/>
  <c r="U62" i="3"/>
  <c r="U65" i="3"/>
  <c r="U50" i="3"/>
  <c r="U54" i="3"/>
  <c r="AC57" i="3"/>
  <c r="U61" i="3"/>
  <c r="V62" i="3"/>
  <c r="V65" i="3"/>
  <c r="U60" i="3"/>
  <c r="V61" i="3"/>
  <c r="S12" i="3"/>
  <c r="U15" i="3"/>
  <c r="S21" i="3"/>
  <c r="S29" i="3"/>
  <c r="U48" i="3"/>
  <c r="V49" i="3"/>
  <c r="U55" i="3"/>
  <c r="U58" i="3"/>
  <c r="U59" i="3"/>
  <c r="V60" i="3"/>
  <c r="AC52" i="3"/>
  <c r="AC53" i="3"/>
  <c r="S36" i="3"/>
  <c r="U38" i="3"/>
  <c r="U46" i="3"/>
  <c r="U56" i="3"/>
  <c r="V38" i="3"/>
  <c r="V46" i="3"/>
  <c r="V56" i="3"/>
  <c r="AC31" i="2"/>
  <c r="W31" i="2"/>
  <c r="V30" i="2"/>
  <c r="AB30" i="2" s="1"/>
  <c r="W30" i="2"/>
  <c r="U30" i="2"/>
  <c r="T61" i="2"/>
  <c r="W60" i="2"/>
  <c r="U60" i="2"/>
  <c r="V60" i="2"/>
  <c r="AV8" i="2"/>
  <c r="R8" i="2"/>
  <c r="W8" i="2" s="1"/>
  <c r="R9" i="2"/>
  <c r="U9" i="2" s="1"/>
  <c r="R10" i="2"/>
  <c r="W10" i="2" s="1"/>
  <c r="R11" i="2"/>
  <c r="V11" i="2" s="1"/>
  <c r="AB11" i="2" s="1"/>
  <c r="R12" i="2"/>
  <c r="U12" i="2" s="1"/>
  <c r="R13" i="2"/>
  <c r="W13" i="2" s="1"/>
  <c r="R14" i="2"/>
  <c r="V14" i="2" s="1"/>
  <c r="AB14" i="2" s="1"/>
  <c r="R15" i="2"/>
  <c r="V15" i="2" s="1"/>
  <c r="AB15" i="2" s="1"/>
  <c r="R17" i="2"/>
  <c r="W17" i="2" s="1"/>
  <c r="R18" i="2"/>
  <c r="W18" i="2" s="1"/>
  <c r="R19" i="2"/>
  <c r="V19" i="2" s="1"/>
  <c r="AB19" i="2" s="1"/>
  <c r="R20" i="2"/>
  <c r="W20" i="2" s="1"/>
  <c r="R21" i="2"/>
  <c r="W21" i="2" s="1"/>
  <c r="R22" i="2"/>
  <c r="V22" i="2" s="1"/>
  <c r="AB22" i="2" s="1"/>
  <c r="R23" i="2"/>
  <c r="U23" i="2" s="1"/>
  <c r="R24" i="2"/>
  <c r="V24" i="2" s="1"/>
  <c r="AB24" i="2" s="1"/>
  <c r="R25" i="2"/>
  <c r="V25" i="2" s="1"/>
  <c r="AB25" i="2" s="1"/>
  <c r="R26" i="2"/>
  <c r="U26" i="2" s="1"/>
  <c r="R27" i="2"/>
  <c r="W27" i="2" s="1"/>
  <c r="R28" i="2"/>
  <c r="U28" i="2" s="1"/>
  <c r="R29" i="2"/>
  <c r="W29" i="2" s="1"/>
  <c r="R32" i="2"/>
  <c r="V32" i="2" s="1"/>
  <c r="R33" i="2"/>
  <c r="V33" i="2" s="1"/>
  <c r="R34" i="2"/>
  <c r="U34" i="2" s="1"/>
  <c r="R35" i="2"/>
  <c r="U35" i="2" s="1"/>
  <c r="R36" i="2"/>
  <c r="V36" i="2" s="1"/>
  <c r="R37" i="2"/>
  <c r="W37" i="2" s="1"/>
  <c r="AB37" i="2" s="1"/>
  <c r="R38" i="2"/>
  <c r="V38" i="2" s="1"/>
  <c r="R39" i="2"/>
  <c r="W39" i="2" s="1"/>
  <c r="AB39" i="2" s="1"/>
  <c r="R40" i="2"/>
  <c r="V40" i="2" s="1"/>
  <c r="R41" i="2"/>
  <c r="V41" i="2" s="1"/>
  <c r="R42" i="2"/>
  <c r="V42" i="2" s="1"/>
  <c r="R43" i="2"/>
  <c r="W43" i="2" s="1"/>
  <c r="AB43" i="2" s="1"/>
  <c r="R44" i="2"/>
  <c r="W44" i="2" s="1"/>
  <c r="AB44" i="2" s="1"/>
  <c r="R45" i="2"/>
  <c r="W45" i="2" s="1"/>
  <c r="AB45" i="2" s="1"/>
  <c r="R46" i="2"/>
  <c r="R47" i="2"/>
  <c r="W47" i="2" s="1"/>
  <c r="AB47" i="2" s="1"/>
  <c r="R48" i="2"/>
  <c r="V48" i="2" s="1"/>
  <c r="R49" i="2"/>
  <c r="V49" i="2" s="1"/>
  <c r="R50" i="2"/>
  <c r="V50" i="2" s="1"/>
  <c r="R51" i="2"/>
  <c r="V51" i="2" s="1"/>
  <c r="R52" i="2"/>
  <c r="U52" i="2" s="1"/>
  <c r="R53" i="2"/>
  <c r="V53" i="2" s="1"/>
  <c r="R54" i="2"/>
  <c r="V54" i="2" s="1"/>
  <c r="R55" i="2"/>
  <c r="W55" i="2" s="1"/>
  <c r="AB55" i="2" s="1"/>
  <c r="R56" i="2"/>
  <c r="V56" i="2" s="1"/>
  <c r="R57" i="2"/>
  <c r="V57" i="2" s="1"/>
  <c r="R58" i="2"/>
  <c r="V58" i="2" s="1"/>
  <c r="R59" i="2"/>
  <c r="V59" i="2" s="1"/>
  <c r="R7" i="2"/>
  <c r="W7" i="2" s="1"/>
  <c r="R6" i="2"/>
  <c r="V6" i="2" s="1"/>
  <c r="AB6" i="2" s="1"/>
  <c r="R5" i="2"/>
  <c r="N6" i="2"/>
  <c r="N7" i="2"/>
  <c r="N8" i="2"/>
  <c r="N9" i="2"/>
  <c r="N10" i="2"/>
  <c r="N11" i="2"/>
  <c r="N12" i="2"/>
  <c r="N13" i="2"/>
  <c r="N14" i="2"/>
  <c r="N15" i="2"/>
  <c r="N16" i="2"/>
  <c r="N17" i="2"/>
  <c r="N18" i="2"/>
  <c r="N19" i="2"/>
  <c r="N20" i="2"/>
  <c r="N21" i="2"/>
  <c r="N22" i="2"/>
  <c r="N23" i="2"/>
  <c r="N24" i="2"/>
  <c r="N25" i="2"/>
  <c r="N26" i="2"/>
  <c r="N27" i="2"/>
  <c r="N28" i="2"/>
  <c r="N29" i="2"/>
  <c r="N32" i="2"/>
  <c r="N33" i="2"/>
  <c r="N34" i="2"/>
  <c r="N35" i="2"/>
  <c r="N36" i="2"/>
  <c r="N37" i="2"/>
  <c r="N38" i="2"/>
  <c r="N39" i="2"/>
  <c r="N40" i="2"/>
  <c r="N41" i="2"/>
  <c r="N42" i="2"/>
  <c r="N43" i="2"/>
  <c r="N44" i="2"/>
  <c r="N45" i="2"/>
  <c r="N46" i="2"/>
  <c r="N47" i="2"/>
  <c r="N48" i="2"/>
  <c r="N49" i="2"/>
  <c r="N50" i="2"/>
  <c r="N51" i="2"/>
  <c r="N52" i="2"/>
  <c r="N53" i="2"/>
  <c r="N54" i="2"/>
  <c r="N55" i="2"/>
  <c r="N56" i="2"/>
  <c r="N57" i="2"/>
  <c r="N58" i="2"/>
  <c r="N5" i="2"/>
  <c r="AA6" i="2"/>
  <c r="AA7" i="2"/>
  <c r="AA8" i="2"/>
  <c r="AA9" i="2"/>
  <c r="AA10" i="2"/>
  <c r="AA11" i="2"/>
  <c r="AA12" i="2"/>
  <c r="AA13" i="2"/>
  <c r="AA14" i="2"/>
  <c r="AA15" i="2"/>
  <c r="AA16" i="2"/>
  <c r="AA17" i="2"/>
  <c r="AA18" i="2"/>
  <c r="AA19" i="2"/>
  <c r="AA20" i="2"/>
  <c r="AA21" i="2"/>
  <c r="AA22" i="2"/>
  <c r="AA23" i="2"/>
  <c r="AA24" i="2"/>
  <c r="AA25" i="2"/>
  <c r="AA26" i="2"/>
  <c r="AA27" i="2"/>
  <c r="AA28" i="2"/>
  <c r="AA29"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W11" i="2"/>
  <c r="W12" i="2"/>
  <c r="W24" i="2"/>
  <c r="W25" i="2"/>
  <c r="W46" i="2"/>
  <c r="AB46" i="2" s="1"/>
  <c r="W50" i="2"/>
  <c r="AB50" i="2" s="1"/>
  <c r="W51" i="2"/>
  <c r="AB51" i="2" s="1"/>
  <c r="V20" i="2"/>
  <c r="AB20" i="2" s="1"/>
  <c r="V46" i="2"/>
  <c r="V47" i="2"/>
  <c r="U20" i="2"/>
  <c r="U21" i="2"/>
  <c r="U22" i="2"/>
  <c r="U46" i="2"/>
  <c r="U47" i="2"/>
  <c r="U58" i="2"/>
  <c r="U59" i="2"/>
  <c r="AG88" i="3" l="1"/>
  <c r="AH87" i="3"/>
  <c r="AB61" i="2"/>
  <c r="V45" i="2"/>
  <c r="AB60" i="2"/>
  <c r="AH77" i="3"/>
  <c r="T36" i="3"/>
  <c r="T12" i="3"/>
  <c r="AC54" i="3"/>
  <c r="AC26" i="3"/>
  <c r="T25" i="3"/>
  <c r="AC62" i="3"/>
  <c r="AB14" i="3"/>
  <c r="AB13" i="3"/>
  <c r="T32" i="3"/>
  <c r="AB10" i="3"/>
  <c r="T28" i="3"/>
  <c r="AB39" i="3"/>
  <c r="T17" i="3"/>
  <c r="T21" i="3"/>
  <c r="T24" i="3"/>
  <c r="AC38" i="3"/>
  <c r="AB19" i="3"/>
  <c r="T11" i="3"/>
  <c r="AC56" i="3"/>
  <c r="AB44" i="3"/>
  <c r="AB21" i="3"/>
  <c r="T33" i="3"/>
  <c r="AC46" i="3"/>
  <c r="AB35" i="3"/>
  <c r="AB47" i="3"/>
  <c r="T19" i="3"/>
  <c r="AB36" i="3"/>
  <c r="AB22" i="3"/>
  <c r="AC50" i="3"/>
  <c r="AB29" i="3"/>
  <c r="AC61" i="3"/>
  <c r="AB27" i="3"/>
  <c r="T29" i="3"/>
  <c r="AB30" i="3"/>
  <c r="T10" i="3"/>
  <c r="T27" i="3"/>
  <c r="AB12" i="3"/>
  <c r="AC30" i="2"/>
  <c r="W38" i="2"/>
  <c r="AB38" i="2" s="1"/>
  <c r="V10" i="2"/>
  <c r="AB10" i="2" s="1"/>
  <c r="V13" i="2"/>
  <c r="AB13" i="2" s="1"/>
  <c r="U40" i="2"/>
  <c r="V12" i="2"/>
  <c r="AB12" i="2" s="1"/>
  <c r="V39" i="2"/>
  <c r="U56" i="2"/>
  <c r="W28" i="2"/>
  <c r="V29" i="2"/>
  <c r="U13" i="2"/>
  <c r="U55" i="2"/>
  <c r="U11" i="2"/>
  <c r="W54" i="2"/>
  <c r="AB54" i="2" s="1"/>
  <c r="W53" i="2"/>
  <c r="AB53" i="2" s="1"/>
  <c r="U39" i="2"/>
  <c r="U38" i="2"/>
  <c r="U32" i="2"/>
  <c r="U54" i="2"/>
  <c r="U29" i="2"/>
  <c r="V55" i="2"/>
  <c r="V28" i="2"/>
  <c r="U48" i="2"/>
  <c r="V21" i="2"/>
  <c r="AB21" i="2" s="1"/>
  <c r="W52" i="2"/>
  <c r="AB52" i="2" s="1"/>
  <c r="V35" i="2"/>
  <c r="V34" i="2"/>
  <c r="V9" i="2"/>
  <c r="AB9" i="2" s="1"/>
  <c r="W42" i="2"/>
  <c r="AB42" i="2" s="1"/>
  <c r="V8" i="2"/>
  <c r="AB8" i="2" s="1"/>
  <c r="U42" i="2"/>
  <c r="V44" i="2"/>
  <c r="U51" i="2"/>
  <c r="V43" i="2"/>
  <c r="U50" i="2"/>
  <c r="W26" i="2"/>
  <c r="U27" i="2"/>
  <c r="V52" i="2"/>
  <c r="W36" i="2"/>
  <c r="AB36" i="2" s="1"/>
  <c r="U18" i="2"/>
  <c r="V18" i="2"/>
  <c r="AB18" i="2" s="1"/>
  <c r="U10" i="2"/>
  <c r="U37" i="2"/>
  <c r="U17" i="2"/>
  <c r="U7" i="2"/>
  <c r="V27" i="2"/>
  <c r="AB27" i="2" s="1"/>
  <c r="V17" i="2"/>
  <c r="AB17" i="2" s="1"/>
  <c r="W35" i="2"/>
  <c r="AB35" i="2" s="1"/>
  <c r="U45" i="2"/>
  <c r="U36" i="2"/>
  <c r="U25" i="2"/>
  <c r="U14" i="2"/>
  <c r="U6" i="2"/>
  <c r="V26" i="2"/>
  <c r="AB26" i="2" s="1"/>
  <c r="W59" i="2"/>
  <c r="AB59" i="2" s="1"/>
  <c r="W34" i="2"/>
  <c r="AB34" i="2" s="1"/>
  <c r="W6" i="2"/>
  <c r="W9" i="2"/>
  <c r="U8" i="2"/>
  <c r="W19" i="2"/>
  <c r="U53" i="2"/>
  <c r="U44" i="2"/>
  <c r="U24" i="2"/>
  <c r="V37" i="2"/>
  <c r="W58" i="2"/>
  <c r="AB58" i="2" s="1"/>
  <c r="U19" i="2"/>
  <c r="V7" i="2"/>
  <c r="AB7" i="2" s="1"/>
  <c r="U43" i="2"/>
  <c r="U49" i="2"/>
  <c r="W41" i="2"/>
  <c r="AB41" i="2" s="1"/>
  <c r="W15" i="2"/>
  <c r="U57" i="2"/>
  <c r="W57" i="2"/>
  <c r="AB57" i="2" s="1"/>
  <c r="W56" i="2"/>
  <c r="AB56" i="2" s="1"/>
  <c r="W48" i="2"/>
  <c r="AB48" i="2" s="1"/>
  <c r="W40" i="2"/>
  <c r="AB40" i="2" s="1"/>
  <c r="W32" i="2"/>
  <c r="AB32" i="2" s="1"/>
  <c r="W22" i="2"/>
  <c r="W14" i="2"/>
  <c r="U33" i="2"/>
  <c r="W49" i="2"/>
  <c r="AB49" i="2" s="1"/>
  <c r="W33" i="2"/>
  <c r="AB33" i="2" s="1"/>
  <c r="U15" i="2"/>
  <c r="W23" i="2"/>
  <c r="U41" i="2"/>
  <c r="V23" i="2"/>
  <c r="AB23" i="2" s="1"/>
  <c r="AG89" i="3" l="1"/>
  <c r="AH88" i="3"/>
  <c r="AG100" i="3"/>
  <c r="AG101" i="3" s="1"/>
  <c r="AG102" i="3" s="1"/>
  <c r="AG103" i="3" s="1"/>
  <c r="AH78" i="3"/>
  <c r="AC19" i="3"/>
  <c r="AC35" i="3"/>
  <c r="AC12" i="3"/>
  <c r="AC39" i="3"/>
  <c r="AC14" i="3"/>
  <c r="AC36" i="3"/>
  <c r="AC13" i="3"/>
  <c r="AC21" i="3"/>
  <c r="AC30" i="3"/>
  <c r="AC29" i="3"/>
  <c r="AC44" i="3"/>
  <c r="AC10" i="3"/>
  <c r="AC27" i="3"/>
  <c r="AC22" i="3"/>
  <c r="AC47" i="3"/>
  <c r="AB28" i="2"/>
  <c r="AB29" i="2"/>
  <c r="S29" i="2"/>
  <c r="O29" i="2"/>
  <c r="O32" i="2"/>
  <c r="O28" i="2"/>
  <c r="X59" i="2"/>
  <c r="O59" i="2" s="1"/>
  <c r="X58" i="2"/>
  <c r="O58" i="2" s="1"/>
  <c r="S59" i="2"/>
  <c r="T59" i="2" s="1"/>
  <c r="S58" i="2"/>
  <c r="T58" i="2" s="1"/>
  <c r="AH89" i="3" l="1"/>
  <c r="AG91" i="3"/>
  <c r="AH79" i="3"/>
  <c r="T29" i="2"/>
  <c r="AC29" i="2"/>
  <c r="AC28" i="2"/>
  <c r="S28" i="2"/>
  <c r="AC58" i="2"/>
  <c r="AC59" i="2"/>
  <c r="AH91" i="3" l="1"/>
  <c r="AG92" i="3"/>
  <c r="AH80" i="3"/>
  <c r="T28" i="2"/>
  <c r="S27" i="2"/>
  <c r="T27" i="2" s="1"/>
  <c r="AA5" i="2"/>
  <c r="S56" i="2"/>
  <c r="S57" i="2"/>
  <c r="O57" i="2"/>
  <c r="O56" i="2"/>
  <c r="O27" i="2"/>
  <c r="AG93" i="3" l="1"/>
  <c r="AH93" i="3" s="1"/>
  <c r="AH92" i="3"/>
  <c r="AH81" i="3"/>
  <c r="S5" i="2"/>
  <c r="AE3" i="2"/>
  <c r="AC57" i="2"/>
  <c r="AC56" i="2"/>
  <c r="AC27" i="2"/>
  <c r="T57" i="2"/>
  <c r="T56" i="2"/>
  <c r="W84" i="2"/>
  <c r="V84" i="2"/>
  <c r="U84" i="2"/>
  <c r="W83" i="2"/>
  <c r="V83" i="2"/>
  <c r="U83" i="2"/>
  <c r="W82" i="2"/>
  <c r="V82" i="2"/>
  <c r="U82" i="2"/>
  <c r="W81" i="2"/>
  <c r="V81" i="2"/>
  <c r="U81" i="2"/>
  <c r="W80" i="2"/>
  <c r="V80" i="2"/>
  <c r="U80" i="2"/>
  <c r="W79" i="2"/>
  <c r="V79" i="2"/>
  <c r="U79" i="2"/>
  <c r="W78" i="2"/>
  <c r="V78" i="2"/>
  <c r="U78" i="2"/>
  <c r="W77" i="2"/>
  <c r="V77" i="2"/>
  <c r="U77" i="2"/>
  <c r="W76" i="2"/>
  <c r="V76" i="2"/>
  <c r="U76" i="2"/>
  <c r="W75" i="2"/>
  <c r="V75" i="2"/>
  <c r="U75" i="2"/>
  <c r="W74" i="2"/>
  <c r="V74" i="2"/>
  <c r="U74" i="2"/>
  <c r="W73" i="2"/>
  <c r="V73" i="2"/>
  <c r="U73" i="2"/>
  <c r="W72" i="2"/>
  <c r="V72" i="2"/>
  <c r="U72" i="2"/>
  <c r="W71" i="2"/>
  <c r="V71" i="2"/>
  <c r="U71" i="2"/>
  <c r="W70" i="2"/>
  <c r="V70" i="2"/>
  <c r="U70" i="2"/>
  <c r="W69" i="2"/>
  <c r="V69" i="2"/>
  <c r="U69" i="2"/>
  <c r="W68" i="2"/>
  <c r="V68" i="2"/>
  <c r="U68" i="2"/>
  <c r="W67" i="2"/>
  <c r="V67" i="2"/>
  <c r="U67" i="2"/>
  <c r="W66" i="2"/>
  <c r="V66" i="2"/>
  <c r="U66" i="2"/>
  <c r="W65" i="2"/>
  <c r="V65" i="2"/>
  <c r="U65" i="2"/>
  <c r="W64" i="2"/>
  <c r="V64" i="2"/>
  <c r="U64" i="2"/>
  <c r="W63" i="2"/>
  <c r="V63" i="2"/>
  <c r="AC55" i="2"/>
  <c r="S55" i="2"/>
  <c r="T55" i="2" s="1"/>
  <c r="O55" i="2"/>
  <c r="AC54" i="2"/>
  <c r="S54" i="2"/>
  <c r="T54" i="2" s="1"/>
  <c r="O54" i="2"/>
  <c r="E54" i="2"/>
  <c r="AC53" i="2"/>
  <c r="S53" i="2"/>
  <c r="T53" i="2" s="1"/>
  <c r="O53" i="2"/>
  <c r="AC52" i="2"/>
  <c r="S52" i="2"/>
  <c r="T52" i="2" s="1"/>
  <c r="O52" i="2"/>
  <c r="AC51" i="2"/>
  <c r="S51" i="2"/>
  <c r="T51" i="2" s="1"/>
  <c r="O51" i="2"/>
  <c r="I51" i="2"/>
  <c r="E51" i="2"/>
  <c r="D51" i="2"/>
  <c r="AC50" i="2"/>
  <c r="S50" i="2"/>
  <c r="T50" i="2" s="1"/>
  <c r="O50" i="2"/>
  <c r="I50" i="2"/>
  <c r="E50" i="2"/>
  <c r="D50" i="2"/>
  <c r="AC49" i="2"/>
  <c r="S49" i="2"/>
  <c r="T49" i="2" s="1"/>
  <c r="O49" i="2"/>
  <c r="I49" i="2"/>
  <c r="E49" i="2"/>
  <c r="D49" i="2"/>
  <c r="AC48" i="2"/>
  <c r="S48" i="2"/>
  <c r="T48" i="2" s="1"/>
  <c r="O48" i="2"/>
  <c r="D48" i="2"/>
  <c r="AC47" i="2"/>
  <c r="S47" i="2"/>
  <c r="T47" i="2" s="1"/>
  <c r="O47" i="2"/>
  <c r="AC46" i="2"/>
  <c r="S46" i="2"/>
  <c r="T46" i="2" s="1"/>
  <c r="O46" i="2"/>
  <c r="AC45" i="2"/>
  <c r="S45" i="2"/>
  <c r="T45" i="2" s="1"/>
  <c r="O45" i="2"/>
  <c r="AC44" i="2"/>
  <c r="S44" i="2"/>
  <c r="T44" i="2" s="1"/>
  <c r="O44" i="2"/>
  <c r="AC43" i="2"/>
  <c r="S43" i="2"/>
  <c r="T43" i="2" s="1"/>
  <c r="O43" i="2"/>
  <c r="AC42" i="2"/>
  <c r="S42" i="2"/>
  <c r="T42" i="2" s="1"/>
  <c r="O42" i="2"/>
  <c r="AC41" i="2"/>
  <c r="S41" i="2"/>
  <c r="T41" i="2" s="1"/>
  <c r="O41" i="2"/>
  <c r="AC40" i="2"/>
  <c r="S40" i="2"/>
  <c r="T40" i="2" s="1"/>
  <c r="O40" i="2"/>
  <c r="AC39" i="2"/>
  <c r="S39" i="2"/>
  <c r="T39" i="2" s="1"/>
  <c r="O39" i="2"/>
  <c r="AC38" i="2"/>
  <c r="S38" i="2"/>
  <c r="T38" i="2" s="1"/>
  <c r="O38" i="2"/>
  <c r="AC37" i="2"/>
  <c r="S37" i="2"/>
  <c r="T37" i="2" s="1"/>
  <c r="O37" i="2"/>
  <c r="AC36" i="2"/>
  <c r="S36" i="2"/>
  <c r="T36" i="2" s="1"/>
  <c r="O36" i="2"/>
  <c r="AC35" i="2"/>
  <c r="S35" i="2"/>
  <c r="T35" i="2" s="1"/>
  <c r="O35" i="2"/>
  <c r="AC34" i="2"/>
  <c r="S34" i="2"/>
  <c r="T34" i="2" s="1"/>
  <c r="O34" i="2"/>
  <c r="AC33" i="2"/>
  <c r="S33" i="2"/>
  <c r="T33" i="2" s="1"/>
  <c r="O33" i="2"/>
  <c r="AC32" i="2"/>
  <c r="S32" i="2"/>
  <c r="T32" i="2" s="1"/>
  <c r="AC26" i="2"/>
  <c r="S26" i="2"/>
  <c r="O26" i="2"/>
  <c r="AC25" i="2"/>
  <c r="S25" i="2"/>
  <c r="T25" i="2" s="1"/>
  <c r="O25" i="2"/>
  <c r="AC24" i="2"/>
  <c r="S24" i="2"/>
  <c r="O24" i="2"/>
  <c r="S23" i="2"/>
  <c r="T23" i="2" s="1"/>
  <c r="O23" i="2"/>
  <c r="AC22" i="2"/>
  <c r="S22" i="2"/>
  <c r="T22" i="2" s="1"/>
  <c r="O22" i="2"/>
  <c r="AC21" i="2"/>
  <c r="S21" i="2"/>
  <c r="O21" i="2"/>
  <c r="AC20" i="2"/>
  <c r="S20" i="2"/>
  <c r="T20" i="2" s="1"/>
  <c r="O20" i="2"/>
  <c r="AC19" i="2"/>
  <c r="S19" i="2"/>
  <c r="O19" i="2"/>
  <c r="AC18" i="2"/>
  <c r="S18" i="2"/>
  <c r="T18" i="2" s="1"/>
  <c r="O18" i="2"/>
  <c r="AC17" i="2"/>
  <c r="S17" i="2"/>
  <c r="O17" i="2"/>
  <c r="S16" i="2"/>
  <c r="AC15" i="2"/>
  <c r="S15" i="2"/>
  <c r="T15" i="2" s="1"/>
  <c r="O15" i="2"/>
  <c r="AC14" i="2"/>
  <c r="S14" i="2"/>
  <c r="O14" i="2"/>
  <c r="AC13" i="2"/>
  <c r="S13" i="2"/>
  <c r="T13" i="2" s="1"/>
  <c r="O13" i="2"/>
  <c r="AC12" i="2"/>
  <c r="S12" i="2"/>
  <c r="T12" i="2" s="1"/>
  <c r="O12" i="2"/>
  <c r="AC11" i="2"/>
  <c r="S11" i="2"/>
  <c r="T11" i="2" s="1"/>
  <c r="O11" i="2"/>
  <c r="AC10" i="2"/>
  <c r="S10" i="2"/>
  <c r="O10" i="2"/>
  <c r="AC9" i="2"/>
  <c r="S9" i="2"/>
  <c r="T9" i="2" s="1"/>
  <c r="O9" i="2"/>
  <c r="AC8" i="2"/>
  <c r="S8" i="2"/>
  <c r="O8" i="2"/>
  <c r="AC7" i="2"/>
  <c r="S7" i="2"/>
  <c r="T7" i="2" s="1"/>
  <c r="O7" i="2"/>
  <c r="AC6" i="2"/>
  <c r="S6" i="2"/>
  <c r="O6" i="2"/>
  <c r="W5" i="2"/>
  <c r="V5" i="2"/>
  <c r="AB5" i="2" s="1"/>
  <c r="U5" i="2"/>
  <c r="T5" i="2"/>
  <c r="O5" i="2"/>
  <c r="AE31" i="2"/>
  <c r="AH82" i="3" l="1"/>
  <c r="AE61" i="2"/>
  <c r="AE60" i="2"/>
  <c r="AF31" i="2"/>
  <c r="AF30" i="2"/>
  <c r="AF60" i="2"/>
  <c r="AF61" i="2"/>
  <c r="AC5" i="2"/>
  <c r="X68" i="2"/>
  <c r="AE30" i="2"/>
  <c r="AF29" i="2"/>
  <c r="AF28" i="2"/>
  <c r="X70" i="2"/>
  <c r="X78" i="2"/>
  <c r="AE28" i="2"/>
  <c r="AE29" i="2"/>
  <c r="X76" i="2"/>
  <c r="AF59" i="2"/>
  <c r="AE59" i="2"/>
  <c r="AF58" i="2"/>
  <c r="AE58" i="2"/>
  <c r="X67" i="2"/>
  <c r="X75" i="2"/>
  <c r="X84" i="2"/>
  <c r="X64" i="2"/>
  <c r="X72" i="2"/>
  <c r="X80" i="2"/>
  <c r="X83" i="2"/>
  <c r="X66" i="2"/>
  <c r="X82" i="2"/>
  <c r="X69" i="2"/>
  <c r="AE48" i="2"/>
  <c r="AE27" i="2"/>
  <c r="AE56" i="2"/>
  <c r="AE57" i="2"/>
  <c r="AF27" i="2"/>
  <c r="AF56" i="2"/>
  <c r="AF57" i="2"/>
  <c r="AF12" i="2"/>
  <c r="AF15" i="2"/>
  <c r="AE16" i="2"/>
  <c r="AF9" i="2"/>
  <c r="AF21" i="2"/>
  <c r="AF26" i="2"/>
  <c r="AF6" i="2"/>
  <c r="AE9" i="2"/>
  <c r="AF11" i="2"/>
  <c r="AF14" i="2"/>
  <c r="AF51" i="2"/>
  <c r="AF7" i="2"/>
  <c r="AE7" i="2"/>
  <c r="AE18" i="2"/>
  <c r="AF5" i="2"/>
  <c r="AE11" i="2"/>
  <c r="AF13" i="2"/>
  <c r="AE26" i="2"/>
  <c r="AF17" i="2"/>
  <c r="AF19" i="2"/>
  <c r="AF22" i="2"/>
  <c r="AF24" i="2"/>
  <c r="AE37" i="2"/>
  <c r="X74" i="2"/>
  <c r="X77" i="2"/>
  <c r="AF20" i="2"/>
  <c r="AE22" i="2"/>
  <c r="AE24" i="2"/>
  <c r="AE35" i="2"/>
  <c r="AF55" i="2"/>
  <c r="AF10" i="2"/>
  <c r="AF32" i="2"/>
  <c r="X65" i="2"/>
  <c r="X73" i="2"/>
  <c r="X81" i="2"/>
  <c r="T14" i="2"/>
  <c r="AE5" i="2"/>
  <c r="AE15" i="2"/>
  <c r="AF18" i="2"/>
  <c r="AE20" i="2"/>
  <c r="AE33" i="2"/>
  <c r="AG3" i="2"/>
  <c r="AF8" i="2"/>
  <c r="AE13" i="2"/>
  <c r="AF25" i="2"/>
  <c r="X63" i="2"/>
  <c r="X71" i="2"/>
  <c r="X79" i="2"/>
  <c r="AF48" i="2"/>
  <c r="AF52" i="2"/>
  <c r="AF50" i="2"/>
  <c r="AI3" i="2"/>
  <c r="AF44" i="2"/>
  <c r="AF34" i="2"/>
  <c r="AF49" i="2"/>
  <c r="AF38" i="2"/>
  <c r="AF42" i="2"/>
  <c r="AF40" i="2"/>
  <c r="AF46" i="2"/>
  <c r="AF36" i="2"/>
  <c r="AE52" i="2"/>
  <c r="T6" i="2"/>
  <c r="T8" i="2"/>
  <c r="T10" i="2"/>
  <c r="AE54" i="2"/>
  <c r="T16" i="2"/>
  <c r="AE39" i="2"/>
  <c r="AE41" i="2"/>
  <c r="AE43" i="2"/>
  <c r="AE45" i="2"/>
  <c r="AE47" i="2"/>
  <c r="AF54" i="2"/>
  <c r="AF33" i="2"/>
  <c r="AF35" i="2"/>
  <c r="AF37" i="2"/>
  <c r="AF39" i="2"/>
  <c r="AF41" i="2"/>
  <c r="AF43" i="2"/>
  <c r="AF45" i="2"/>
  <c r="AF47" i="2"/>
  <c r="AE17" i="2"/>
  <c r="AE19" i="2"/>
  <c r="AE21" i="2"/>
  <c r="T24" i="2"/>
  <c r="T26" i="2"/>
  <c r="AE51" i="2"/>
  <c r="AE53" i="2"/>
  <c r="AE55" i="2"/>
  <c r="AE50" i="2"/>
  <c r="AF53" i="2"/>
  <c r="T17" i="2"/>
  <c r="T19" i="2"/>
  <c r="T21" i="2"/>
  <c r="AE23" i="2"/>
  <c r="AE25" i="2"/>
  <c r="AE32" i="2"/>
  <c r="AE34" i="2"/>
  <c r="AE36" i="2"/>
  <c r="AE38" i="2"/>
  <c r="AE40" i="2"/>
  <c r="AE42" i="2"/>
  <c r="AE44" i="2"/>
  <c r="AE46" i="2"/>
  <c r="AE49" i="2"/>
  <c r="AE6" i="2"/>
  <c r="AE8" i="2"/>
  <c r="AE10" i="2"/>
  <c r="AE12" i="2"/>
  <c r="AE14" i="2"/>
  <c r="AH83" i="3" l="1"/>
  <c r="AG104" i="3"/>
  <c r="AI60" i="2"/>
  <c r="AJ61" i="2"/>
  <c r="AI61" i="2"/>
  <c r="AJ60" i="2"/>
  <c r="AH31" i="2"/>
  <c r="AG30" i="2"/>
  <c r="AH30" i="2"/>
  <c r="AG31" i="2"/>
  <c r="AH28" i="2"/>
  <c r="AH29" i="2"/>
  <c r="AG29" i="2"/>
  <c r="AG28" i="2"/>
  <c r="AJ59" i="2"/>
  <c r="AI59" i="2"/>
  <c r="AI58" i="2"/>
  <c r="AJ58" i="2"/>
  <c r="AF23" i="2"/>
  <c r="AC23" i="2"/>
  <c r="AI47" i="2"/>
  <c r="AJ56" i="2"/>
  <c r="AJ57" i="2"/>
  <c r="AI57" i="2"/>
  <c r="AI56" i="2"/>
  <c r="AH17" i="2"/>
  <c r="AH27" i="2"/>
  <c r="AG27" i="2"/>
  <c r="AG9" i="2"/>
  <c r="AH21" i="2"/>
  <c r="AH12" i="2"/>
  <c r="AH15" i="2"/>
  <c r="AG11" i="2"/>
  <c r="AG13" i="2"/>
  <c r="AG6" i="2"/>
  <c r="AG15" i="2"/>
  <c r="AG26" i="2"/>
  <c r="AG23" i="2"/>
  <c r="AG16" i="2"/>
  <c r="AG14" i="2"/>
  <c r="AG25" i="2"/>
  <c r="AH26" i="2"/>
  <c r="AH8" i="2"/>
  <c r="AG24" i="2"/>
  <c r="AH10" i="2"/>
  <c r="AH20" i="2"/>
  <c r="AH22" i="2"/>
  <c r="AH9" i="2"/>
  <c r="AH19" i="2"/>
  <c r="AG12" i="2"/>
  <c r="AG19" i="2"/>
  <c r="AG21" i="2"/>
  <c r="AG20" i="2"/>
  <c r="AG22" i="2"/>
  <c r="AH25" i="2"/>
  <c r="AG18" i="2"/>
  <c r="AH24" i="2"/>
  <c r="AH23" i="2"/>
  <c r="AH18" i="2"/>
  <c r="AH11" i="2"/>
  <c r="AH7" i="2"/>
  <c r="AH6" i="2"/>
  <c r="AG17" i="2"/>
  <c r="AG10" i="2"/>
  <c r="AH14" i="2"/>
  <c r="AG7" i="2"/>
  <c r="AG5" i="2"/>
  <c r="AG8" i="2"/>
  <c r="AH5" i="2"/>
  <c r="AH13" i="2"/>
  <c r="AI54" i="2"/>
  <c r="AI37" i="2"/>
  <c r="AI33" i="2"/>
  <c r="AI51" i="2"/>
  <c r="AI52" i="2"/>
  <c r="AJ53" i="2"/>
  <c r="AI36" i="2"/>
  <c r="AI50" i="2"/>
  <c r="AI35" i="2"/>
  <c r="AI42" i="2"/>
  <c r="AI43" i="2"/>
  <c r="AI40" i="2"/>
  <c r="AI38" i="2"/>
  <c r="AJ51" i="2"/>
  <c r="AI34" i="2"/>
  <c r="AJ47" i="2"/>
  <c r="AJ45" i="2"/>
  <c r="AJ43" i="2"/>
  <c r="AJ41" i="2"/>
  <c r="AJ39" i="2"/>
  <c r="AJ37" i="2"/>
  <c r="AJ35" i="2"/>
  <c r="AJ33" i="2"/>
  <c r="AJ54" i="2"/>
  <c r="AJ52" i="2"/>
  <c r="AJ48" i="2"/>
  <c r="AJ49" i="2"/>
  <c r="AJ46" i="2"/>
  <c r="AJ44" i="2"/>
  <c r="AJ42" i="2"/>
  <c r="AJ40" i="2"/>
  <c r="AJ38" i="2"/>
  <c r="AJ36" i="2"/>
  <c r="AJ34" i="2"/>
  <c r="AJ32" i="2"/>
  <c r="AI45" i="2"/>
  <c r="AI41" i="2"/>
  <c r="AI49" i="2"/>
  <c r="AI48" i="2"/>
  <c r="AI32" i="2"/>
  <c r="AI44" i="2"/>
  <c r="AI46" i="2"/>
  <c r="AI53" i="2"/>
  <c r="AI55" i="2"/>
  <c r="AJ55" i="2"/>
  <c r="AJ50" i="2"/>
  <c r="AI39" i="2"/>
  <c r="AH85" i="3" l="1"/>
  <c r="AH84" i="3"/>
  <c r="AJ3" i="2"/>
  <c r="R16" i="2"/>
  <c r="U16" i="2" s="1"/>
  <c r="O16" i="2"/>
  <c r="W16" i="2" l="1"/>
  <c r="V16" i="2"/>
  <c r="AH16" i="2" l="1"/>
  <c r="AH3" i="2" s="1"/>
  <c r="AB16" i="2"/>
  <c r="AF16" i="2" l="1"/>
  <c r="AF3" i="2" s="1"/>
  <c r="AC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tc={7705E3C0-E028-CE42-9F3E-778C2423F59C}</author>
    <author>tc={1E57332E-3DBA-0244-B0D0-0D66ECD27F08}</author>
    <author>tc={93D8027A-F9D3-274B-81E9-DB7701692724}</author>
  </authors>
  <commentList>
    <comment ref="AE1" authorId="0" shapeId="0" xr:uid="{7705E3C0-E028-CE42-9F3E-778C2423F59C}">
      <text>
        <t>[Threaded comment]
Your version of Excel allows you to read this threaded comment; however, any edits to it will get removed if the file is opened in a newer version of Excel. Learn more: https://go.microsoft.com/fwlink/?linkid=870924
Comment:
    Calculation od R2 values for Model 1</t>
      </text>
    </comment>
    <comment ref="AD17" authorId="1" shapeId="0" xr:uid="{1E57332E-3DBA-0244-B0D0-0D66ECD27F08}">
      <text>
        <t>[Threaded comment]
Your version of Excel allows you to read this threaded comment; however, any edits to it will get removed if the file is opened in a newer version of Excel. Learn more: https://go.microsoft.com/fwlink/?linkid=870924
Comment:
    Actual Description is very deep</t>
      </text>
    </comment>
    <comment ref="R62" authorId="2" shapeId="0" xr:uid="{93D8027A-F9D3-274B-81E9-DB7701692724}">
      <text>
        <t>[Threaded comment]
Your version of Excel allows you to read this threaded comment; however, any edits to it will get removed if the file is opened in a newer version of Excel. Learn more: https://go.microsoft.com/fwlink/?linkid=870924
Comment:
    These Data were used in the main paper figure and are calculated using the parameters d=from the analysis shown lower left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tc={3626A817-4ED6-46F4-8E10-57217475A6AE}</author>
    <author>tc={E4B7A3EC-C260-6145-A6D3-627C060ABC95}</author>
    <author>tc={D30F4505-F9C6-1E4C-8D17-4C336F47213D}</author>
  </authors>
  <commentList>
    <comment ref="AD22" authorId="0" shapeId="0" xr:uid="{3626A817-4ED6-46F4-8E10-57217475A6AE}">
      <text>
        <t>[Threaded comment]
Your version of Excel allows you to read this threaded comment; however, any edits to it will get removed if the file is opened in a newer version of Excel. Learn more: https://go.microsoft.com/fwlink/?linkid=870924
Comment:
    Actual Description is very deep</t>
      </text>
    </comment>
    <comment ref="AG69" authorId="1" shapeId="0" xr:uid="{E4B7A3EC-C260-6145-A6D3-627C060ABC95}">
      <text>
        <t>[Threaded comment]
Your version of Excel allows you to read this threaded comment; however, any edits to it will get removed if the file is opened in a newer version of Excel. Learn more: https://go.microsoft.com/fwlink/?linkid=870924
Comment:
    Model 2 - used to produce graph</t>
      </text>
    </comment>
    <comment ref="AC98" authorId="2" shapeId="0" xr:uid="{D30F4505-F9C6-1E4C-8D17-4C336F47213D}">
      <text>
        <t xml:space="preserve">[Threaded comment]
Your version of Excel allows you to read this threaded comment; however, any edits to it will get removed if the file is opened in a newer version of Excel. Learn more: https://go.microsoft.com/fwlink/?linkid=870924
Comment:
    Model 3 </t>
      </text>
    </comment>
  </commentList>
</comments>
</file>

<file path=xl/sharedStrings.xml><?xml version="1.0" encoding="utf-8"?>
<sst xmlns="http://schemas.openxmlformats.org/spreadsheetml/2006/main" count="897" uniqueCount="337">
  <si>
    <t>Species</t>
  </si>
  <si>
    <t>Rain</t>
  </si>
  <si>
    <t>PET</t>
  </si>
  <si>
    <t>CWI</t>
  </si>
  <si>
    <t>Rain (Papers)</t>
  </si>
  <si>
    <t>ET</t>
  </si>
  <si>
    <t>T</t>
  </si>
  <si>
    <t>Residual</t>
  </si>
  <si>
    <t>Soil  Depth</t>
  </si>
  <si>
    <t>Euc</t>
  </si>
  <si>
    <t>Jijou</t>
  </si>
  <si>
    <t>Hetou</t>
  </si>
  <si>
    <t>Qipo</t>
  </si>
  <si>
    <t>E. grandis</t>
  </si>
  <si>
    <t>E. nitens</t>
  </si>
  <si>
    <t>Brazil</t>
  </si>
  <si>
    <t>E. saligna</t>
  </si>
  <si>
    <t>E. globulus</t>
  </si>
  <si>
    <t>Pine</t>
  </si>
  <si>
    <t>Joencheshoek</t>
  </si>
  <si>
    <t>Cathedral Peak</t>
  </si>
  <si>
    <t>San Ignacio</t>
  </si>
  <si>
    <t>Porvenir</t>
  </si>
  <si>
    <t>Huape</t>
  </si>
  <si>
    <t>Croppers</t>
  </si>
  <si>
    <t>Genus</t>
  </si>
  <si>
    <t>k actual euc</t>
  </si>
  <si>
    <t>kactual pine</t>
  </si>
  <si>
    <t>All</t>
  </si>
  <si>
    <t>w:</t>
  </si>
  <si>
    <t>&gt; nonlin1&lt;-nls(k.actual~1+CWI-(1+(CWI^w))^(1/w), y, start = startvals)</t>
  </si>
  <si>
    <t>&gt; nonlin1</t>
  </si>
  <si>
    <t>Nonlinear regression model</t>
  </si>
  <si>
    <t xml:space="preserve">  model: k.actual ~ 1 + CWI - (1 + (CWI^w))^(1/w)</t>
  </si>
  <si>
    <t xml:space="preserve">   data: y</t>
  </si>
  <si>
    <t xml:space="preserve">Number of iterations to convergence: 5 </t>
  </si>
  <si>
    <t>&gt; nonlin2&lt;-nls(k.actual~1+CWI-(1+(CWI^drop(mm %*% c(w1,w2))))^(1/drop(mm %*% c(w1,w2))), y, start = c(w1=1.5,w2=1.5), trace = TRUE)</t>
  </si>
  <si>
    <t>&gt; nonlin2</t>
  </si>
  <si>
    <t xml:space="preserve">  model: k.actual ~ 1 + CWI - (1 + (CWI^drop(mm %*% c(w1, w2))))^(1/drop(mm %*%     c(w1, w2)))</t>
  </si>
  <si>
    <t xml:space="preserve">   w1    w2 </t>
  </si>
  <si>
    <t>&gt; anova(nonlin1,nonlin2) #does the group factor have a significantly different b (const) term?</t>
  </si>
  <si>
    <t>Analysis of Variance Table</t>
  </si>
  <si>
    <t>Model 1: k.actual ~ 1 + CWI - (1 + (CWI^w))^(1/w)</t>
  </si>
  <si>
    <t>Model 2: k.actual ~ 1 + CWI - (1 + (CWI^drop(mm %*% c(w1, w2))))^(1/drop(mm %*% c(w1, w2)))</t>
  </si>
  <si>
    <t>R stats output</t>
  </si>
  <si>
    <t>Coweeta</t>
  </si>
  <si>
    <t xml:space="preserve">&gt; </t>
  </si>
  <si>
    <t>Site Name</t>
  </si>
  <si>
    <t>Reference</t>
  </si>
  <si>
    <t>E. urophylla</t>
  </si>
  <si>
    <t>Planted</t>
  </si>
  <si>
    <t xml:space="preserve">Commenced </t>
  </si>
  <si>
    <t>Measurements</t>
  </si>
  <si>
    <t>Ended</t>
  </si>
  <si>
    <t>Lane, P.N.J. et al., 2004.  Agricultural and Forest Meteorology, 124(3-4): 253-267.</t>
  </si>
  <si>
    <t>Ren, S. et al., 2019.  Australian Forestry: 1-14.</t>
  </si>
  <si>
    <t>Green Triangle 6</t>
  </si>
  <si>
    <t>Green Triangle 8</t>
  </si>
  <si>
    <t>Benyon, R.G., Theiveyanathan, S. and Doody, T.M., 2006. Australian Journal of Botany, 54(2): 181-192.</t>
  </si>
  <si>
    <t>E. urophylla x grandis</t>
  </si>
  <si>
    <t>P. radiata</t>
  </si>
  <si>
    <t>P. patula</t>
  </si>
  <si>
    <t>P. taeda</t>
  </si>
  <si>
    <t>Location</t>
  </si>
  <si>
    <t>Leizhou Peninsula, China</t>
  </si>
  <si>
    <t>Guangxi Provice, China</t>
  </si>
  <si>
    <t>South Australia</t>
  </si>
  <si>
    <t>Florentine Valley 1</t>
  </si>
  <si>
    <t>Florentine Valley 2</t>
  </si>
  <si>
    <t>Florentine Valley 3</t>
  </si>
  <si>
    <t>Florentine Valley 4</t>
  </si>
  <si>
    <t>Tasmania Australia</t>
  </si>
  <si>
    <t>Latitude</t>
  </si>
  <si>
    <t>Longitude</t>
  </si>
  <si>
    <t>Location (Decimal Degrees)</t>
  </si>
  <si>
    <t>Mokobulaan</t>
  </si>
  <si>
    <t>Sub-Tropical Eastern Drakensberg Mountains, South Afrixa</t>
  </si>
  <si>
    <t>Westfalia</t>
  </si>
  <si>
    <t>Northern Provice, South Africa</t>
  </si>
  <si>
    <t>Scott, D.F. and Lesch, W., 1997. Journal of Hydrology, 199: 360-377.</t>
  </si>
  <si>
    <t>Grao Mogol</t>
  </si>
  <si>
    <t>South India</t>
  </si>
  <si>
    <t>Lewisham</t>
  </si>
  <si>
    <t>Lewiaham</t>
  </si>
  <si>
    <t>Portugal</t>
  </si>
  <si>
    <t>Lesch, W. and Scott, D.F., 1997. Forest Ecology and Management, 99: 295-307.</t>
  </si>
  <si>
    <t>Roberts, S., Barton-Johnson, R., McLarin, M. and Read, S., 2015. Forest Ecology and Management, 343: 110-122.</t>
  </si>
  <si>
    <t>Lima, W.d.P., Zakia, M.J.B., Libardi, P.L. and Souza Filho, A.P.d., 1990.  IPEF International(1): 5-11.</t>
  </si>
  <si>
    <t>Soares, J.V. and Almeida, A.C., 2001.  Journal of Hydrology, 253(1-4): 130-147.</t>
  </si>
  <si>
    <t>Aracruz, Espirito Santo</t>
  </si>
  <si>
    <t>Almeida, A.C., Smethurst, P.J., Siggins, A., Cavalcante, R.B.L. and Borges, N., 2016. Hydrological Processes, 30(25): 4687-4703.</t>
  </si>
  <si>
    <t>E. urophylla x globulus</t>
  </si>
  <si>
    <t>Terra Dura, Rio Grande du Sol</t>
  </si>
  <si>
    <t>Rio Grande du Sol</t>
  </si>
  <si>
    <t>Honeysett, J.L., White, D.A., Worledge, D. and Beadle, C.L., 1996. Australian Forestry, 59: 64-73.</t>
  </si>
  <si>
    <t>Reichert, J.M. et al., 2017. Agricultural and Forest Meteorology, 237-238: 282-295.</t>
  </si>
  <si>
    <t>David, J.S., Henriques, M.O., David, T.S., Tomé, J. and Ledger, D.C., 1994. Clearcutting effects on streamflow in coppiced Eucalyptus globulus stands in Portugal. Journal of Hydrology, 162(1): 143-154.</t>
  </si>
  <si>
    <t>North East  of Lisbon</t>
  </si>
  <si>
    <t>Nilgiris</t>
  </si>
  <si>
    <t>Samraj, P., Sharda, V.N., Chinnamani, S., Lakshmanan, V. and Haldorai, B., 1988. Journal of Hydrology, 103(3): 335-345.</t>
  </si>
  <si>
    <t>Duke Forest</t>
  </si>
  <si>
    <t>North Carolina, USA</t>
  </si>
  <si>
    <t>Stoy, P.C. et al., 2006. Separating the effects of climate and vegetation on evapotranspiration along a successional chronosequence in the southeastern US. Global Change Biology, 12(11): 2115-2135.</t>
  </si>
  <si>
    <t>Green Triangle 9</t>
  </si>
  <si>
    <t>Green Triangle 13</t>
  </si>
  <si>
    <t>Green Triangle 14</t>
  </si>
  <si>
    <t>Green Triangle 15</t>
  </si>
  <si>
    <t>Green Triangle 16</t>
  </si>
  <si>
    <t>Western Cape, South Africa</t>
  </si>
  <si>
    <t>Natal, South Africa</t>
  </si>
  <si>
    <t>P. caribea var hondurensis</t>
  </si>
  <si>
    <t>Turkey Creek</t>
  </si>
  <si>
    <t>South Carolina, USA</t>
  </si>
  <si>
    <t>Amatya, D.M., Miwa, M., Harrison, C.A., Trettin, C.C. and Sun, G., 2006. ASABE Paper No. 062182. ASABE, St. Joseph, MI.</t>
  </si>
  <si>
    <t>P. taeda and P. palustris</t>
  </si>
  <si>
    <t>Florida, USA</t>
  </si>
  <si>
    <t>Plymouth</t>
  </si>
  <si>
    <t>Gainesville</t>
  </si>
  <si>
    <t>Sun, G. et al., 2010. Forest Ecology and Management, 259(7): 1299-1310.</t>
  </si>
  <si>
    <t>P. elliottii</t>
  </si>
  <si>
    <t>P. strobus</t>
  </si>
  <si>
    <t>Ameriflux Site NC1</t>
  </si>
  <si>
    <t>Ameriflux Site NC2</t>
  </si>
  <si>
    <t>Gympie</t>
  </si>
  <si>
    <t>Queensland, Australia</t>
  </si>
  <si>
    <t>Palhuan</t>
  </si>
  <si>
    <t>Chile</t>
  </si>
  <si>
    <t>Victoria, Australia</t>
  </si>
  <si>
    <t>NSW, Australia</t>
  </si>
  <si>
    <t>Gholz, H.L. and Clark, K.L., 2002. Agricultural and Forest Meteorology 112: 87–102.</t>
  </si>
  <si>
    <t>P. elliottii and P. palustrius</t>
  </si>
  <si>
    <t>Powell, T.L., Starr, G., Clark, K.L., Martin, T.A. and Gholz, H.L., 2005. Canadian Journal of Forest Research, 35(7): 1568-1580.</t>
  </si>
  <si>
    <t>Bubb, K.A. and Croton, J.A., 2002.. Hydrological Processes, 16: 105-117.</t>
  </si>
  <si>
    <t>Huber, A. and Iroumé, A., 2001. Journal of Hydrology, 248: 78-92.</t>
  </si>
  <si>
    <t>Bren, L. and Hopmans, P., 2007. Journal of Hydrology, 336: 416–429.</t>
  </si>
  <si>
    <t>Putuhena, W.M. and Cordery, I., 2000. Agricultural and Forest Meteorology, 100.</t>
  </si>
  <si>
    <t>Lidsdale, Central Tablelands</t>
  </si>
  <si>
    <t>Ford, C.R., Hubbard, R.M., Kloeppel, B.D. and Vose, J.M., 2007.. Agricultural and Forest Meteorology, 145(3): 176-185.</t>
  </si>
  <si>
    <t xml:space="preserve">Beets, P.N. and Oliver, G.R., 2006.New Zealand Journal of Forest Science, 37(2): 308-323. </t>
  </si>
  <si>
    <t>ET/Rain</t>
  </si>
  <si>
    <t>Euc/Pine</t>
  </si>
  <si>
    <t>obs - mean ˆ2</t>
  </si>
  <si>
    <t>pred-mean ˆ2</t>
  </si>
  <si>
    <t>R2 (all Data)</t>
  </si>
  <si>
    <t>Calc R2 All Data</t>
  </si>
  <si>
    <t>Calc R2 Euc</t>
  </si>
  <si>
    <t>R2(Euc</t>
  </si>
  <si>
    <t>Maria Las Cruces</t>
  </si>
  <si>
    <t>Quivolgo</t>
  </si>
  <si>
    <t>Curanalahue, Chile</t>
  </si>
  <si>
    <t>Arauco, Chile</t>
  </si>
  <si>
    <t>Constitucion, Chile</t>
  </si>
  <si>
    <t>Valdivia, Chile</t>
  </si>
  <si>
    <t>Puruki</t>
  </si>
  <si>
    <t>New Zealand</t>
  </si>
  <si>
    <t>San Gabriel 1</t>
  </si>
  <si>
    <t>San Gabriel 2</t>
  </si>
  <si>
    <t>Balocchi, F., D. A. White, R. P. Silberstein, P. R. d. Arellano (2020). Forestal Arauco experimental catchments streamflow-rainfall data, HydroShare, http://www.hydroshare.org/resource/4b517deaa07243aa8c46a58646dd4281</t>
  </si>
  <si>
    <t>Bajo Las Quemas 1</t>
  </si>
  <si>
    <t>Bajo Las Quemas 2</t>
  </si>
  <si>
    <t>log residual</t>
  </si>
  <si>
    <t>White, D.A. et al., 2021. Forest Ecology and Management, 501: 119676.</t>
  </si>
  <si>
    <t>N01</t>
  </si>
  <si>
    <t>Iroumé, A., Jones, J. and Bathurst, J.C., 2021. . Hydrological Processes, 35. https://doi.org/10.1002/hyp.14257</t>
  </si>
  <si>
    <t>Iroumé, A., Jones, J. and Bathurst, J.C., 2021.  Hydrological Processes, 35. https://doi.org/10.1002/hyp.14257</t>
  </si>
  <si>
    <t>N02</t>
  </si>
  <si>
    <t>N05</t>
  </si>
  <si>
    <t>N06</t>
  </si>
  <si>
    <t>CWI plantation life</t>
  </si>
  <si>
    <t>CWI measurement period</t>
  </si>
  <si>
    <t xml:space="preserve">   w </t>
  </si>
  <si>
    <t xml:space="preserve"> residual sum-of-squares: 0.6921</t>
  </si>
  <si>
    <t xml:space="preserve">Number of iterations to convergence: 3 </t>
  </si>
  <si>
    <t>Achieved convergence tolerance: 4.55e-07</t>
  </si>
  <si>
    <t>&gt; mm &lt;- model.matrix(~ 0 + Genus, y)</t>
  </si>
  <si>
    <t>4.547248 :  1.5 1.5</t>
  </si>
  <si>
    <t>1.136395 :  2.114137 2.062902</t>
  </si>
  <si>
    <t>0.7091052 :  2.620344 2.483477</t>
  </si>
  <si>
    <t>0.6867222 :  2.821092 2.625566</t>
  </si>
  <si>
    <t>0.6865736 :  2.841686 2.637655</t>
  </si>
  <si>
    <t>0.6865736 :  2.841802 2.637814</t>
  </si>
  <si>
    <t xml:space="preserve">2.842 2.638 </t>
  </si>
  <si>
    <t xml:space="preserve"> residual sum-of-squares: 0.6866</t>
  </si>
  <si>
    <t>Achieved convergence tolerance: 8.119e-07</t>
  </si>
  <si>
    <t xml:space="preserve">  Res.Df Res.Sum Sq Df  Sum Sq F value Pr(&gt;F)</t>
  </si>
  <si>
    <t xml:space="preserve">1     56    0.69213                          </t>
  </si>
  <si>
    <t>2     55    0.68657  1 0.00556  0.4454 0.5073</t>
  </si>
  <si>
    <t>Calc R2 Pine</t>
  </si>
  <si>
    <r>
      <t>Y = a + be</t>
    </r>
    <r>
      <rPr>
        <sz val="10"/>
        <color rgb="FF595959"/>
        <rFont val="Arial"/>
        <family val="2"/>
      </rPr>
      <t>-kx</t>
    </r>
  </si>
  <si>
    <t>ymax</t>
  </si>
  <si>
    <t>b</t>
  </si>
  <si>
    <t>k</t>
  </si>
  <si>
    <t>intercept</t>
  </si>
  <si>
    <t>slope</t>
  </si>
  <si>
    <t>Method</t>
  </si>
  <si>
    <t>&gt; #Update 20220809 - responding to comments from Mike Ryan to explore ET vs P</t>
  </si>
  <si>
    <t>&gt; #Fitting of exponential curve to ET vs P</t>
  </si>
  <si>
    <t>&gt; startvals &lt;- c(b=-2000,ymax=1400,k=-0.001)</t>
  </si>
  <si>
    <t>&gt; nonlin1&lt;-nls(ET~ymax+b*exp(k*Rain), y, start = startvals)</t>
  </si>
  <si>
    <t>&gt; summary(nonlin1)</t>
  </si>
  <si>
    <t>Formula: ET ~ ymax + b * exp(k * Rain)</t>
  </si>
  <si>
    <t>Parameters:</t>
  </si>
  <si>
    <t xml:space="preserve">       Estimate Std. Error t value Pr(&gt;|t|)    </t>
  </si>
  <si>
    <t xml:space="preserve">b    -1.106e+05  2.035e+05  -0.544  0.58899    </t>
  </si>
  <si>
    <t>ymax  9.785e+02  3.055e+01  32.029  &lt; 2e-16 ***</t>
  </si>
  <si>
    <t xml:space="preserve">k    -8.042e-03  2.658e-03  -3.026  0.00379 ** </t>
  </si>
  <si>
    <t>---</t>
  </si>
  <si>
    <t>Signif. codes:  0 ‘***’ 0.001 ‘**’ 0.01 ‘*’ 0.05 ‘.’ 0.1 ‘ ’ 1</t>
  </si>
  <si>
    <t>Residual standard error: 169.3 on 54 degrees of freedom</t>
  </si>
  <si>
    <t xml:space="preserve">Number of iterations to convergence: 11 </t>
  </si>
  <si>
    <t>Achieved convergence tolerance: 5.332e-06</t>
  </si>
  <si>
    <t>&gt; #different ymax?</t>
  </si>
  <si>
    <t>&gt; startvals2 &lt;-c(ymax1=1400,ymax2=1400,b=-2000,k=-0.001)</t>
  </si>
  <si>
    <t>&gt; nonlin2&lt;-nls(ET~drop(mm %*% c(ymax1,ymax2))+b*exp(k*Rain), y, start = startvals2)</t>
  </si>
  <si>
    <t xml:space="preserve">  model: ET ~ drop(mm %*% c(ymax1, ymax2)) + b * exp(k * Rain)</t>
  </si>
  <si>
    <t xml:space="preserve">     ymax1      ymax2          b          k </t>
  </si>
  <si>
    <t xml:space="preserve"> 1.001e+03  9.608e+02 -8.624e+04 -7.690e-03 </t>
  </si>
  <si>
    <t xml:space="preserve"> residual sum-of-squares: 1525698</t>
  </si>
  <si>
    <t xml:space="preserve">Number of iterations to convergence: 10 </t>
  </si>
  <si>
    <t>Achieved convergence tolerance: 8.76e-06</t>
  </si>
  <si>
    <t>Model 1: ET ~ ymax + b * exp(k * Rain)</t>
  </si>
  <si>
    <t>Model 2: ET ~ drop(mm %*% c(ymax1, ymax2)) + b * exp(k * Rain)</t>
  </si>
  <si>
    <t xml:space="preserve">  Res.Df Res.Sum Sq Df Sum Sq F value Pr(&gt;F)</t>
  </si>
  <si>
    <t xml:space="preserve">1     54    1548482                         </t>
  </si>
  <si>
    <t>2     53    1525698  1  22784  0.7915 0.3777</t>
  </si>
  <si>
    <t>&gt; #different b?</t>
  </si>
  <si>
    <t>&gt; startvals3 &lt;-c(ymax=1400,b1=-2000,b2=-2000,k=-0.001)</t>
  </si>
  <si>
    <t>&gt; nonlin3&lt;-nls(ET~ymax+drop(mm %*% c(b1,b2))*exp(k*Rain), y, start = startvals3)</t>
  </si>
  <si>
    <t>&gt; nonlin3</t>
  </si>
  <si>
    <t xml:space="preserve">  model: ET ~ ymax + drop(mm %*% c(b1, b2)) * exp(k * Rain)</t>
  </si>
  <si>
    <t xml:space="preserve">      ymax         b1         b2          k </t>
  </si>
  <si>
    <t xml:space="preserve"> 9.744e+02 -3.070e+05 -2.504e+05 -9.316e-03 </t>
  </si>
  <si>
    <t xml:space="preserve"> residual sum-of-squares: 1541273</t>
  </si>
  <si>
    <t xml:space="preserve">Number of iterations to convergence: 16 </t>
  </si>
  <si>
    <t>Achieved convergence tolerance: 8.062e-06</t>
  </si>
  <si>
    <t>&gt; anova(nonlin1,nonlin3) #does the group factor have a significantly different b (const) term?</t>
  </si>
  <si>
    <t>Model 2: ET ~ ymax + drop(mm %*% c(b1, b2)) * exp(k * Rain)</t>
  </si>
  <si>
    <t>2     53    1541273  1 7209.7  0.2479 0.6206</t>
  </si>
  <si>
    <t>&gt; #different k?</t>
  </si>
  <si>
    <t>&gt; startvals4 &lt;-c(ymax=1400,b=-2000,k1=-0.001,k2=-0.001)</t>
  </si>
  <si>
    <t>&gt; nonlin4&lt;-nls(ET~ymax+b*exp(drop(mm %*% c(k1,k2))*Rain), y, start = startvals4)</t>
  </si>
  <si>
    <t>&gt; nonlin4</t>
  </si>
  <si>
    <t xml:space="preserve">  model: ET ~ ymax + b * exp(drop(mm %*% c(k1, k2)) * Rain)</t>
  </si>
  <si>
    <t xml:space="preserve">      ymax          b         k1         k2 </t>
  </si>
  <si>
    <t xml:space="preserve"> 9.754e+02 -2.070e+05 -8.819e-03 -9.012e-03 </t>
  </si>
  <si>
    <t xml:space="preserve"> residual sum-of-squares: 1545220</t>
  </si>
  <si>
    <t>Achieved convergence tolerance: 5.904e-06</t>
  </si>
  <si>
    <t>&gt; anova(nonlin1,nonlin4) #does the group factor have a significantly different b (const) term?</t>
  </si>
  <si>
    <t>Model 2: ET ~ ymax + b * exp(drop(mm %*% c(k1, k2)) * Rain)</t>
  </si>
  <si>
    <t>2     53    1545220  1 3262.7  0.1119 0.7393</t>
  </si>
  <si>
    <t>&gt; #linear model of ET/PET vs Precipitation</t>
  </si>
  <si>
    <t>&gt; y$Method&lt;-factor(y$Method)</t>
  </si>
  <si>
    <t>&gt; y$MethodGrp1&lt;-y$Method #1=bottom up water balance, 2=stand scale, 3=catchment scale, 4=eddy covariance</t>
  </si>
  <si>
    <t>&gt; y$MethodGrp2&lt;-y$Method #1=bottom up water balance, 2=stand scale, 3=catchment scale, 4=eddy covariance</t>
  </si>
  <si>
    <t>&gt; levels(y$MethodGrp1)=c("Stand","Stand","Catchment","Stand") #stand vs catchment scale</t>
  </si>
  <si>
    <t>&gt; levels(y$MethodGrp2)=c("Components","Stand","Catchment","Stand") #components vs stand vs catchment scale</t>
  </si>
  <si>
    <t>&gt; linmod1&lt;-lm(k.actual~Rain.1,data=y)</t>
  </si>
  <si>
    <t>&gt; summary(linmod1)</t>
  </si>
  <si>
    <t>Call:</t>
  </si>
  <si>
    <t>lm(formula = k.actual ~ Rain.1, data = y)</t>
  </si>
  <si>
    <t>Residuals:</t>
  </si>
  <si>
    <t xml:space="preserve">     Min       1Q   Median       3Q      Max </t>
  </si>
  <si>
    <t xml:space="preserve">-0.25540 -0.09853  0.01055  0.08731  0.31397 </t>
  </si>
  <si>
    <t>Coefficients:</t>
  </si>
  <si>
    <t xml:space="preserve">             Estimate Std. Error t value Pr(&gt;|t|)    </t>
  </si>
  <si>
    <t>(Intercept) 2.640e-01  6.173e-02   4.277  7.6e-05 ***</t>
  </si>
  <si>
    <t>Rain.1      2.927e-04  4.816e-05   6.078  1.2e-07 ***</t>
  </si>
  <si>
    <t>Residual standard error: 0.1408 on 55 degrees of freedom</t>
  </si>
  <si>
    <t xml:space="preserve">Multiple R-squared:  0.4018,    Adjusted R-squared:  0.3909 </t>
  </si>
  <si>
    <t>F-statistic: 36.94 on 1 and 55 DF,  p-value: 1.204e-07</t>
  </si>
  <si>
    <t>&gt; linmod2&lt;-lm(k.actual~Rain.1+Genus,data=y)</t>
  </si>
  <si>
    <t>&gt; summary(linmod2)</t>
  </si>
  <si>
    <t>lm(formula = k.actual ~ Rain.1 + Genus, data = y)</t>
  </si>
  <si>
    <t xml:space="preserve">-0.27020 -0.11805  0.02019  0.09508  0.28660 </t>
  </si>
  <si>
    <t xml:space="preserve">              Estimate Std. Error t value Pr(&gt;|t|)    </t>
  </si>
  <si>
    <t>(Intercept)  3.031e-01  6.686e-02   4.534 3.26e-05 ***</t>
  </si>
  <si>
    <t>Rain.1       2.839e-04  4.808e-05   5.904 2.43e-07 ***</t>
  </si>
  <si>
    <t xml:space="preserve">GenusPine   -5.381e-02  3.728e-02  -1.443    0.155    </t>
  </si>
  <si>
    <t>Residual standard error: 0.1394 on 54 degrees of freedom</t>
  </si>
  <si>
    <t xml:space="preserve">Multiple R-squared:  0.424,     Adjusted R-squared:  0.4027 </t>
  </si>
  <si>
    <t>F-statistic: 19.87 on 2 and 54 DF,  p-value: 3.4e-07</t>
  </si>
  <si>
    <t>&gt; linmod3&lt;-lm(k.actual~Rain.1+Genus+MethodGrp1,data=y) #stand vs catchment</t>
  </si>
  <si>
    <t>&gt; summary(linmod3)</t>
  </si>
  <si>
    <t>lm(formula = k.actual ~ Rain.1 + Genus + MethodGrp1, data = y)</t>
  </si>
  <si>
    <t xml:space="preserve">      Min        1Q    Median        3Q       Max </t>
  </si>
  <si>
    <t xml:space="preserve">-0.254110 -0.106520  0.002006  0.085058  0.301688 </t>
  </si>
  <si>
    <t xml:space="preserve">                      Estimate Std. Error t value Pr(&gt;|t|)    </t>
  </si>
  <si>
    <t>(Intercept)          2.919e-01  6.812e-02   4.286 7.71e-05 ***</t>
  </si>
  <si>
    <t>Rain.1               2.809e-04  4.827e-05   5.820 3.50e-07 ***</t>
  </si>
  <si>
    <t xml:space="preserve">GenusPine           -5.484e-02  3.737e-02  -1.468    0.148    </t>
  </si>
  <si>
    <t xml:space="preserve">MethodGrp1Catchment  3.357e-02  3.723e-02   0.902    0.371    </t>
  </si>
  <si>
    <t>Residual standard error: 0.1396 on 53 degrees of freedom</t>
  </si>
  <si>
    <t xml:space="preserve">Multiple R-squared:  0.4327,    Adjusted R-squared:  0.4006 </t>
  </si>
  <si>
    <t>F-statistic: 13.48 on 3 and 53 DF,  p-value: 1.187e-06</t>
  </si>
  <si>
    <t>&gt; linmod4&lt;-lm(k.actual~Rain.1+Genus+MethodGrp2,data=y) #cpts vs stand vs catchment</t>
  </si>
  <si>
    <t>&gt; summary(linmod4)</t>
  </si>
  <si>
    <t>lm(formula = k.actual ~ Rain.1 + Genus + MethodGrp2, data = y)</t>
  </si>
  <si>
    <t xml:space="preserve">-0.24476 -0.09311  0.01153  0.10034  0.33053 </t>
  </si>
  <si>
    <t>(Intercept)          2.517e-01  7.006e-02   3.593 0.000726 ***</t>
  </si>
  <si>
    <t>Rain.1               2.895e-04  4.743e-05   6.104 1.32e-07 ***</t>
  </si>
  <si>
    <t xml:space="preserve">GenusPine           -6.295e-02  3.680e-02  -1.711 0.093096 .  </t>
  </si>
  <si>
    <t xml:space="preserve">MethodGrp2Stand      9.623e-02  5.196e-02   1.852 0.069699 .  </t>
  </si>
  <si>
    <t xml:space="preserve">MethodGrp2Catchment  6.747e-02  4.075e-02   1.656 0.103783    </t>
  </si>
  <si>
    <t>Residual standard error: 0.1366 on 52 degrees of freedom</t>
  </si>
  <si>
    <t xml:space="preserve">Multiple R-squared:  0.4678,    Adjusted R-squared:  0.4269 </t>
  </si>
  <si>
    <t>F-statistic: 11.43 on 4 and 52 DF,  p-value: 9.935e-07</t>
  </si>
  <si>
    <t>&gt; linmod5&lt;-lm(k.actual~Rain.1+Genus+Method,data=y) #all methods separately</t>
  </si>
  <si>
    <t>&gt; summary(linmod5)</t>
  </si>
  <si>
    <t>lm(formula = k.actual ~ Rain.1 + Genus + Method, data = y)</t>
  </si>
  <si>
    <t xml:space="preserve">-0.25565 -0.09157  0.00917  0.09898  0.33173 </t>
  </si>
  <si>
    <t xml:space="preserve">(Intercept)  2.486e-01  7.236e-02   3.436  0.00118 ** </t>
  </si>
  <si>
    <t>Rain.1       2.909e-04  4.838e-05   6.013 1.96e-07 ***</t>
  </si>
  <si>
    <t xml:space="preserve">GenusPine   -6.000e-02  3.996e-02  -1.502  0.13935    </t>
  </si>
  <si>
    <t xml:space="preserve">Method2      1.057e-01  7.063e-02   1.497  0.14066    </t>
  </si>
  <si>
    <t xml:space="preserve">Method3      6.720e-02  4.115e-02   1.633  0.10862    </t>
  </si>
  <si>
    <t xml:space="preserve">Method4      8.764e-02  6.774e-02   1.294  0.20155    </t>
  </si>
  <si>
    <t>Residual standard error: 0.1378 on 51 degrees of freedom</t>
  </si>
  <si>
    <t xml:space="preserve">Multiple R-squared:  0.4682,    Adjusted R-squared:  0.4161 </t>
  </si>
  <si>
    <t>F-statistic: 8.981 on 5 and 51 DF,  p-value: 3.603e-06</t>
  </si>
  <si>
    <t>Plantation Life (from CRU Data, see paper for reference)</t>
  </si>
  <si>
    <t>Measurement Period</t>
  </si>
  <si>
    <t xml:space="preserve">w: </t>
  </si>
  <si>
    <t>Nacimiento, Chile</t>
  </si>
  <si>
    <t>Measurement Duration</t>
  </si>
  <si>
    <t>VEE-predicted</t>
  </si>
  <si>
    <t>Measurement Period (from CRU Data)</t>
  </si>
  <si>
    <t>VEE actual euc</t>
  </si>
  <si>
    <t>VEE-actual pine</t>
  </si>
  <si>
    <t>VEE actual</t>
  </si>
  <si>
    <t>VEE pred</t>
  </si>
  <si>
    <t>Data in Yellow Cells estimated using CRU data (see paper for reference)</t>
  </si>
  <si>
    <t>Data in Geen are measured data from associated paper</t>
  </si>
  <si>
    <t>mean of VEE</t>
  </si>
  <si>
    <t>mean of VEE observed</t>
  </si>
  <si>
    <t>This data is CRU climate data and calculations (see paper for reference)</t>
  </si>
  <si>
    <t>This section coloured green is measured values from the papers</t>
  </si>
  <si>
    <t>VEE-predicted-all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</si>
</sst>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2"/>
      <color theme="1"/>
      <name val="Calibri"/>
      <family val="2"/>
      <scheme val="minor"/>
    </font>
    <font>
      <sz val="11"/>
      <color theme="1"/>
      <name val="Calibri"/>
      <family val="2"/>
    </font>
    <font>
      <i/>
      <sz val="11"/>
      <color rgb="FF000000"/>
      <name val="Calibri"/>
      <family val="2"/>
    </font>
    <font>
      <sz val="11"/>
      <color theme="1"/>
      <name val="Courier New"/>
      <family val="3"/>
    </font>
    <font>
      <b/>
      <sz val="11"/>
      <color theme="1"/>
      <name val="Calibri"/>
      <family val="2"/>
    </font>
    <font>
      <sz val="12"/>
      <color theme="1"/>
      <name val="Helvetica"/>
      <family val="2"/>
    </font>
    <font>
      <sz val="11"/>
      <name val="Calibri"/>
      <family val="2"/>
      <scheme val="minor"/>
    </font>
    <font>
      <i/>
      <sz val="11"/>
      <color rgb="FF000000"/>
      <name val="Calibri"/>
      <family val="2"/>
      <scheme val="minor"/>
    </font>
    <font>
      <i/>
      <sz val="11"/>
      <name val="Calibri"/>
      <family val="2"/>
      <scheme val="minor"/>
    </font>
    <font>
      <i/>
      <sz val="11"/>
      <color theme="1"/>
      <name val="Calibri"/>
      <family val="2"/>
    </font>
    <font>
      <sz val="11"/>
      <color theme="1"/>
      <name val="Calibri"/>
      <family val="2"/>
      <scheme val="minor"/>
    </font>
    <font>
      <u/>
      <sz val="12"/>
      <color theme="10"/>
      <name val="Calibri"/>
      <family val="2"/>
      <scheme val="minor"/>
    </font>
    <font>
      <sz val="13"/>
      <color rgb="FF595959"/>
      <name val="Arial"/>
      <family val="2"/>
    </font>
    <font>
      <sz val="10"/>
      <color rgb="FF595959"/>
      <name val="Arial"/>
      <family val="2"/>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59999389629810485"/>
        <bgColor indexed="64"/>
      </patternFill>
    </fill>
  </fills>
  <borders count="1">
    <border>
      <left/>
      <right/>
      <top/>
      <bottom/>
      <diagonal/>
    </border>
  </borders>
  <cellStyleXfs count="2">
    <xf numFmtId="0" fontId="0" fillId="0" borderId="0"/>
    <xf numFmtId="0" fontId="11" fillId="0" borderId="0" applyNumberFormat="0" applyFill="0" applyBorder="0" applyAlignment="0" applyProtection="0"/>
  </cellStyleXfs>
  <cellXfs count="52">
    <xf numFmtId="0" fontId="0" fillId="0" borderId="0" xfId="0"/>
    <xf numFmtId="0" fontId="5" fillId="0" borderId="0" xfId="0" applyFont="1"/>
    <xf numFmtId="0" fontId="1" fillId="0" borderId="0" xfId="0" applyFont="1"/>
    <xf numFmtId="0" fontId="4" fillId="0" borderId="0" xfId="0" applyFont="1"/>
    <xf numFmtId="0" fontId="2" fillId="0" borderId="0" xfId="0" applyFont="1"/>
    <xf numFmtId="0" fontId="3" fillId="0" borderId="0" xfId="0" applyFont="1"/>
    <xf numFmtId="2" fontId="1" fillId="0" borderId="0" xfId="0" applyNumberFormat="1" applyFont="1"/>
    <xf numFmtId="2" fontId="2" fillId="0" borderId="0" xfId="0" applyNumberFormat="1" applyFont="1"/>
    <xf numFmtId="2" fontId="6" fillId="0" borderId="0" xfId="0" applyNumberFormat="1" applyFont="1"/>
    <xf numFmtId="0" fontId="6" fillId="0" borderId="0" xfId="0" applyFont="1"/>
    <xf numFmtId="0" fontId="8" fillId="0" borderId="0" xfId="0" applyFont="1"/>
    <xf numFmtId="0" fontId="9" fillId="0" borderId="0" xfId="0" applyFont="1"/>
    <xf numFmtId="2" fontId="7" fillId="0" borderId="0" xfId="0" applyNumberFormat="1" applyFont="1"/>
    <xf numFmtId="0" fontId="10" fillId="0" borderId="0" xfId="0" applyFont="1"/>
    <xf numFmtId="2" fontId="10" fillId="0" borderId="0" xfId="0" applyNumberFormat="1" applyFont="1"/>
    <xf numFmtId="164" fontId="1" fillId="2" borderId="0" xfId="0" applyNumberFormat="1" applyFont="1" applyFill="1"/>
    <xf numFmtId="0" fontId="1" fillId="2" borderId="0" xfId="0" applyFont="1" applyFill="1"/>
    <xf numFmtId="164" fontId="4" fillId="2" borderId="0" xfId="0" applyNumberFormat="1" applyFont="1" applyFill="1"/>
    <xf numFmtId="164" fontId="2" fillId="2" borderId="0" xfId="0" applyNumberFormat="1" applyFont="1" applyFill="1"/>
    <xf numFmtId="0" fontId="2" fillId="2" borderId="0" xfId="0" applyFont="1" applyFill="1"/>
    <xf numFmtId="0" fontId="1" fillId="3" borderId="0" xfId="0" applyFont="1" applyFill="1"/>
    <xf numFmtId="0" fontId="2" fillId="3" borderId="0" xfId="0" applyFont="1" applyFill="1"/>
    <xf numFmtId="0" fontId="0" fillId="3" borderId="0" xfId="0" applyFill="1"/>
    <xf numFmtId="0" fontId="2" fillId="4" borderId="0" xfId="0" applyFont="1" applyFill="1"/>
    <xf numFmtId="2" fontId="7" fillId="4" borderId="0" xfId="0" applyNumberFormat="1" applyFont="1" applyFill="1"/>
    <xf numFmtId="0" fontId="5" fillId="4" borderId="0" xfId="0" applyFont="1" applyFill="1"/>
    <xf numFmtId="0" fontId="11" fillId="4" borderId="0" xfId="1" applyFill="1"/>
    <xf numFmtId="0" fontId="1" fillId="4" borderId="0" xfId="0" applyFont="1" applyFill="1"/>
    <xf numFmtId="0" fontId="9" fillId="4" borderId="0" xfId="0" applyFont="1" applyFill="1"/>
    <xf numFmtId="0" fontId="0" fillId="4" borderId="0" xfId="0" applyFill="1"/>
    <xf numFmtId="2" fontId="0" fillId="4" borderId="0" xfId="0" applyNumberFormat="1" applyFill="1"/>
    <xf numFmtId="0" fontId="5" fillId="3" borderId="0" xfId="0" applyFont="1" applyFill="1"/>
    <xf numFmtId="0" fontId="3" fillId="2" borderId="0" xfId="0" applyFont="1" applyFill="1"/>
    <xf numFmtId="2" fontId="1" fillId="2" borderId="0" xfId="0" applyNumberFormat="1" applyFont="1" applyFill="1"/>
    <xf numFmtId="0" fontId="12" fillId="0" borderId="0" xfId="0" applyFont="1"/>
    <xf numFmtId="11" fontId="1" fillId="0" borderId="0" xfId="0" applyNumberFormat="1" applyFont="1"/>
    <xf numFmtId="0" fontId="1" fillId="5" borderId="0" xfId="0" applyFont="1" applyFill="1"/>
    <xf numFmtId="0" fontId="2" fillId="5" borderId="0" xfId="0" applyFont="1" applyFill="1"/>
    <xf numFmtId="164" fontId="2" fillId="5" borderId="0" xfId="0" applyNumberFormat="1" applyFont="1" applyFill="1"/>
    <xf numFmtId="0" fontId="0" fillId="5" borderId="0" xfId="0" applyFill="1"/>
    <xf numFmtId="164" fontId="0" fillId="5" borderId="0" xfId="0" applyNumberFormat="1" applyFill="1"/>
    <xf numFmtId="0" fontId="4" fillId="2" borderId="0" xfId="0" applyFont="1" applyFill="1"/>
    <xf numFmtId="0" fontId="8" fillId="2" borderId="0" xfId="0" applyFont="1" applyFill="1"/>
    <xf numFmtId="0" fontId="6" fillId="2" borderId="0" xfId="0" applyFont="1" applyFill="1"/>
    <xf numFmtId="0" fontId="10" fillId="2" borderId="0" xfId="0" applyFont="1" applyFill="1"/>
    <xf numFmtId="164" fontId="0" fillId="2" borderId="0" xfId="0" applyNumberFormat="1" applyFill="1"/>
    <xf numFmtId="0" fontId="0" fillId="2" borderId="0" xfId="0" applyFill="1"/>
    <xf numFmtId="0" fontId="1" fillId="6" borderId="0" xfId="0" applyFont="1" applyFill="1"/>
    <xf numFmtId="0" fontId="2" fillId="6" borderId="0" xfId="0" applyFont="1" applyFill="1"/>
    <xf numFmtId="0" fontId="3" fillId="3" borderId="0" xfId="0" applyFont="1" applyFill="1"/>
    <xf numFmtId="2" fontId="1" fillId="3" borderId="0" xfId="0" applyNumberFormat="1" applyFont="1" applyFill="1"/>
    <xf numFmtId="2" fontId="1" fillId="4" borderId="0" xfId="0" applyNumberFormat="1" applyFont="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5.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6.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7.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8.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2.xml"/><Relationship Id="rId1" Type="http://schemas.microsoft.com/office/2011/relationships/chartStyle" Target="style12.xml"/></Relationships>
</file>

<file path=xl/charts/_rels/chartEx1.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2.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3.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Eucalyptus</c:v>
          </c:tx>
          <c:spPr>
            <a:ln w="19050" cap="rnd">
              <a:noFill/>
              <a:round/>
            </a:ln>
            <a:effectLst/>
          </c:spPr>
          <c:marker>
            <c:symbol val="circle"/>
            <c:size val="6"/>
            <c:spPr>
              <a:noFill/>
              <a:ln w="9525">
                <a:solidFill>
                  <a:schemeClr val="tx1"/>
                </a:solidFill>
              </a:ln>
              <a:effectLst/>
            </c:spPr>
          </c:marker>
          <c:xVal>
            <c:numRef>
              <c:f>'VEE vs CWI'!$R$5:$R$61</c:f>
              <c:numCache>
                <c:formatCode>General</c:formatCode>
                <c:ptCount val="57"/>
                <c:pt idx="0">
                  <c:v>1.4973645607190944</c:v>
                </c:pt>
                <c:pt idx="1">
                  <c:v>1.3670492589145011</c:v>
                </c:pt>
                <c:pt idx="2">
                  <c:v>1.0994273650705952</c:v>
                </c:pt>
                <c:pt idx="3">
                  <c:v>0.47056574313441507</c:v>
                </c:pt>
                <c:pt idx="4">
                  <c:v>0.50876696144965505</c:v>
                </c:pt>
                <c:pt idx="5">
                  <c:v>0.49078098247447077</c:v>
                </c:pt>
                <c:pt idx="6">
                  <c:v>0.49655097909423879</c:v>
                </c:pt>
                <c:pt idx="7">
                  <c:v>0.38336823664360653</c:v>
                </c:pt>
                <c:pt idx="8">
                  <c:v>1.3139002561219817</c:v>
                </c:pt>
                <c:pt idx="9">
                  <c:v>1.6215547678312967</c:v>
                </c:pt>
                <c:pt idx="10">
                  <c:v>1.3365310347770174</c:v>
                </c:pt>
                <c:pt idx="11">
                  <c:v>1.2174302788844622</c:v>
                </c:pt>
                <c:pt idx="12">
                  <c:v>0.4823368306524195</c:v>
                </c:pt>
                <c:pt idx="13">
                  <c:v>0.74232737204670496</c:v>
                </c:pt>
                <c:pt idx="14">
                  <c:v>0.90951467530278207</c:v>
                </c:pt>
                <c:pt idx="15">
                  <c:v>0.8946057120230736</c:v>
                </c:pt>
                <c:pt idx="16">
                  <c:v>0.73020257351148543</c:v>
                </c:pt>
                <c:pt idx="17">
                  <c:v>0.73020257351148543</c:v>
                </c:pt>
                <c:pt idx="18">
                  <c:v>0.82382133995037221</c:v>
                </c:pt>
                <c:pt idx="19">
                  <c:v>0.70654051189801736</c:v>
                </c:pt>
                <c:pt idx="20">
                  <c:v>0.70654051189801736</c:v>
                </c:pt>
                <c:pt idx="21">
                  <c:v>0.9018970189701897</c:v>
                </c:pt>
                <c:pt idx="22">
                  <c:v>1.1404226312201773</c:v>
                </c:pt>
                <c:pt idx="23">
                  <c:v>1.6043478260869566</c:v>
                </c:pt>
                <c:pt idx="24">
                  <c:v>1.6043478260869566</c:v>
                </c:pt>
                <c:pt idx="25">
                  <c:v>0.801875</c:v>
                </c:pt>
                <c:pt idx="26">
                  <c:v>0.78749999999999998</c:v>
                </c:pt>
                <c:pt idx="27">
                  <c:v>0.48037246998735011</c:v>
                </c:pt>
                <c:pt idx="28">
                  <c:v>0.51295824457238981</c:v>
                </c:pt>
                <c:pt idx="29">
                  <c:v>0.51295824457238981</c:v>
                </c:pt>
                <c:pt idx="30">
                  <c:v>0.49423183046586527</c:v>
                </c:pt>
                <c:pt idx="31">
                  <c:v>0.53897488915164182</c:v>
                </c:pt>
                <c:pt idx="32">
                  <c:v>0.79976861873342631</c:v>
                </c:pt>
                <c:pt idx="33">
                  <c:v>0.42976132902350694</c:v>
                </c:pt>
                <c:pt idx="34">
                  <c:v>0.49385154562698741</c:v>
                </c:pt>
                <c:pt idx="35">
                  <c:v>0.54625495366586718</c:v>
                </c:pt>
                <c:pt idx="36">
                  <c:v>0.83206818236929414</c:v>
                </c:pt>
                <c:pt idx="37">
                  <c:v>1.0191333136600171</c:v>
                </c:pt>
                <c:pt idx="38">
                  <c:v>0.73220356781758844</c:v>
                </c:pt>
                <c:pt idx="39">
                  <c:v>0.65166190570510274</c:v>
                </c:pt>
                <c:pt idx="40">
                  <c:v>0.66507898004857846</c:v>
                </c:pt>
                <c:pt idx="41">
                  <c:v>0.92910475175289464</c:v>
                </c:pt>
                <c:pt idx="42">
                  <c:v>0.64363517226397715</c:v>
                </c:pt>
                <c:pt idx="43">
                  <c:v>0.56019409448397817</c:v>
                </c:pt>
                <c:pt idx="44">
                  <c:v>0.86615222632709254</c:v>
                </c:pt>
                <c:pt idx="45">
                  <c:v>0.86615222632709254</c:v>
                </c:pt>
                <c:pt idx="46">
                  <c:v>0.92747370508751104</c:v>
                </c:pt>
                <c:pt idx="47">
                  <c:v>1.2729545454545454</c:v>
                </c:pt>
                <c:pt idx="48">
                  <c:v>0.5088577586206896</c:v>
                </c:pt>
                <c:pt idx="49">
                  <c:v>1.1183980619890013</c:v>
                </c:pt>
                <c:pt idx="50">
                  <c:v>1.1595092024539877</c:v>
                </c:pt>
                <c:pt idx="51">
                  <c:v>1.1404226312201773</c:v>
                </c:pt>
                <c:pt idx="52">
                  <c:v>0.37113980909601346</c:v>
                </c:pt>
                <c:pt idx="53">
                  <c:v>1.8148148148148149</c:v>
                </c:pt>
                <c:pt idx="54">
                  <c:v>1.8148148148148149</c:v>
                </c:pt>
                <c:pt idx="55">
                  <c:v>0.79500000000000004</c:v>
                </c:pt>
                <c:pt idx="56">
                  <c:v>0.80625000000000002</c:v>
                </c:pt>
              </c:numCache>
            </c:numRef>
          </c:xVal>
          <c:yVal>
            <c:numRef>
              <c:f>'VEE vs CWI'!$S$5:$S$61</c:f>
              <c:numCache>
                <c:formatCode>General</c:formatCode>
                <c:ptCount val="57"/>
                <c:pt idx="0">
                  <c:v>0.77580820206307533</c:v>
                </c:pt>
                <c:pt idx="1">
                  <c:v>0.71943624806462636</c:v>
                </c:pt>
                <c:pt idx="2">
                  <c:v>0.63173223625916664</c:v>
                </c:pt>
                <c:pt idx="3">
                  <c:v>0.46298461359207632</c:v>
                </c:pt>
                <c:pt idx="4">
                  <c:v>0.32102182206805224</c:v>
                </c:pt>
                <c:pt idx="5">
                  <c:v>0.39333678634337699</c:v>
                </c:pt>
                <c:pt idx="6">
                  <c:v>0.64920367409530622</c:v>
                </c:pt>
                <c:pt idx="7">
                  <c:v>0.28635056392895986</c:v>
                </c:pt>
                <c:pt idx="8">
                  <c:v>0.96733297060251155</c:v>
                </c:pt>
                <c:pt idx="9">
                  <c:v>0.74124829394372682</c:v>
                </c:pt>
                <c:pt idx="10">
                  <c:v>0.7539899592554169</c:v>
                </c:pt>
                <c:pt idx="11">
                  <c:v>0.79946879150066397</c:v>
                </c:pt>
                <c:pt idx="12">
                  <c:v>0.45810154599931346</c:v>
                </c:pt>
                <c:pt idx="13">
                  <c:v>0.73638700107151844</c:v>
                </c:pt>
                <c:pt idx="14">
                  <c:v>0.79925510941125799</c:v>
                </c:pt>
                <c:pt idx="15">
                  <c:v>0.73018749231255475</c:v>
                </c:pt>
                <c:pt idx="16">
                  <c:v>0.82883379513221944</c:v>
                </c:pt>
                <c:pt idx="17">
                  <c:v>0.82883379513221944</c:v>
                </c:pt>
                <c:pt idx="18">
                  <c:v>0.5694789081885856</c:v>
                </c:pt>
                <c:pt idx="19">
                  <c:v>0.68689805560603312</c:v>
                </c:pt>
                <c:pt idx="20">
                  <c:v>0.69507541341086687</c:v>
                </c:pt>
                <c:pt idx="21">
                  <c:v>0.59945799457994575</c:v>
                </c:pt>
                <c:pt idx="22">
                  <c:v>0.50783912747102933</c:v>
                </c:pt>
                <c:pt idx="23">
                  <c:v>0.91304347826086951</c:v>
                </c:pt>
                <c:pt idx="24">
                  <c:v>0.81739130434782614</c:v>
                </c:pt>
                <c:pt idx="25">
                  <c:v>0.59750000000000003</c:v>
                </c:pt>
                <c:pt idx="26">
                  <c:v>0.67749999999999999</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numCache>
            </c:numRef>
          </c:yVal>
          <c:smooth val="0"/>
          <c:extLst>
            <c:ext xmlns:c16="http://schemas.microsoft.com/office/drawing/2014/chart" uri="{C3380CC4-5D6E-409C-BE32-E72D297353CC}">
              <c16:uniqueId val="{00000000-401A-7041-B89D-88FD214DF653}"/>
            </c:ext>
          </c:extLst>
        </c:ser>
        <c:ser>
          <c:idx val="1"/>
          <c:order val="1"/>
          <c:tx>
            <c:v>Pinus</c:v>
          </c:tx>
          <c:spPr>
            <a:ln w="19050" cap="rnd">
              <a:noFill/>
              <a:round/>
            </a:ln>
            <a:effectLst/>
          </c:spPr>
          <c:marker>
            <c:symbol val="triangle"/>
            <c:size val="6"/>
            <c:spPr>
              <a:solidFill>
                <a:schemeClr val="bg1"/>
              </a:solidFill>
              <a:ln w="9525">
                <a:solidFill>
                  <a:schemeClr val="tx1"/>
                </a:solidFill>
              </a:ln>
              <a:effectLst/>
            </c:spPr>
          </c:marker>
          <c:xVal>
            <c:numRef>
              <c:f>'VEE vs CWI'!$R$5:$R$61</c:f>
              <c:numCache>
                <c:formatCode>General</c:formatCode>
                <c:ptCount val="57"/>
                <c:pt idx="0">
                  <c:v>1.4973645607190944</c:v>
                </c:pt>
                <c:pt idx="1">
                  <c:v>1.3670492589145011</c:v>
                </c:pt>
                <c:pt idx="2">
                  <c:v>1.0994273650705952</c:v>
                </c:pt>
                <c:pt idx="3">
                  <c:v>0.47056574313441507</c:v>
                </c:pt>
                <c:pt idx="4">
                  <c:v>0.50876696144965505</c:v>
                </c:pt>
                <c:pt idx="5">
                  <c:v>0.49078098247447077</c:v>
                </c:pt>
                <c:pt idx="6">
                  <c:v>0.49655097909423879</c:v>
                </c:pt>
                <c:pt idx="7">
                  <c:v>0.38336823664360653</c:v>
                </c:pt>
                <c:pt idx="8">
                  <c:v>1.3139002561219817</c:v>
                </c:pt>
                <c:pt idx="9">
                  <c:v>1.6215547678312967</c:v>
                </c:pt>
                <c:pt idx="10">
                  <c:v>1.3365310347770174</c:v>
                </c:pt>
                <c:pt idx="11">
                  <c:v>1.2174302788844622</c:v>
                </c:pt>
                <c:pt idx="12">
                  <c:v>0.4823368306524195</c:v>
                </c:pt>
                <c:pt idx="13">
                  <c:v>0.74232737204670496</c:v>
                </c:pt>
                <c:pt idx="14">
                  <c:v>0.90951467530278207</c:v>
                </c:pt>
                <c:pt idx="15">
                  <c:v>0.8946057120230736</c:v>
                </c:pt>
                <c:pt idx="16">
                  <c:v>0.73020257351148543</c:v>
                </c:pt>
                <c:pt idx="17">
                  <c:v>0.73020257351148543</c:v>
                </c:pt>
                <c:pt idx="18">
                  <c:v>0.82382133995037221</c:v>
                </c:pt>
                <c:pt idx="19">
                  <c:v>0.70654051189801736</c:v>
                </c:pt>
                <c:pt idx="20">
                  <c:v>0.70654051189801736</c:v>
                </c:pt>
                <c:pt idx="21">
                  <c:v>0.9018970189701897</c:v>
                </c:pt>
                <c:pt idx="22">
                  <c:v>1.1404226312201773</c:v>
                </c:pt>
                <c:pt idx="23">
                  <c:v>1.6043478260869566</c:v>
                </c:pt>
                <c:pt idx="24">
                  <c:v>1.6043478260869566</c:v>
                </c:pt>
                <c:pt idx="25">
                  <c:v>0.801875</c:v>
                </c:pt>
                <c:pt idx="26">
                  <c:v>0.78749999999999998</c:v>
                </c:pt>
                <c:pt idx="27">
                  <c:v>0.48037246998735011</c:v>
                </c:pt>
                <c:pt idx="28">
                  <c:v>0.51295824457238981</c:v>
                </c:pt>
                <c:pt idx="29">
                  <c:v>0.51295824457238981</c:v>
                </c:pt>
                <c:pt idx="30">
                  <c:v>0.49423183046586527</c:v>
                </c:pt>
                <c:pt idx="31">
                  <c:v>0.53897488915164182</c:v>
                </c:pt>
                <c:pt idx="32">
                  <c:v>0.79976861873342631</c:v>
                </c:pt>
                <c:pt idx="33">
                  <c:v>0.42976132902350694</c:v>
                </c:pt>
                <c:pt idx="34">
                  <c:v>0.49385154562698741</c:v>
                </c:pt>
                <c:pt idx="35">
                  <c:v>0.54625495366586718</c:v>
                </c:pt>
                <c:pt idx="36">
                  <c:v>0.83206818236929414</c:v>
                </c:pt>
                <c:pt idx="37">
                  <c:v>1.0191333136600171</c:v>
                </c:pt>
                <c:pt idx="38">
                  <c:v>0.73220356781758844</c:v>
                </c:pt>
                <c:pt idx="39">
                  <c:v>0.65166190570510274</c:v>
                </c:pt>
                <c:pt idx="40">
                  <c:v>0.66507898004857846</c:v>
                </c:pt>
                <c:pt idx="41">
                  <c:v>0.92910475175289464</c:v>
                </c:pt>
                <c:pt idx="42">
                  <c:v>0.64363517226397715</c:v>
                </c:pt>
                <c:pt idx="43">
                  <c:v>0.56019409448397817</c:v>
                </c:pt>
                <c:pt idx="44">
                  <c:v>0.86615222632709254</c:v>
                </c:pt>
                <c:pt idx="45">
                  <c:v>0.86615222632709254</c:v>
                </c:pt>
                <c:pt idx="46">
                  <c:v>0.92747370508751104</c:v>
                </c:pt>
                <c:pt idx="47">
                  <c:v>1.2729545454545454</c:v>
                </c:pt>
                <c:pt idx="48">
                  <c:v>0.5088577586206896</c:v>
                </c:pt>
                <c:pt idx="49">
                  <c:v>1.1183980619890013</c:v>
                </c:pt>
                <c:pt idx="50">
                  <c:v>1.1595092024539877</c:v>
                </c:pt>
                <c:pt idx="51">
                  <c:v>1.1404226312201773</c:v>
                </c:pt>
                <c:pt idx="52">
                  <c:v>0.37113980909601346</c:v>
                </c:pt>
                <c:pt idx="53">
                  <c:v>1.8148148148148149</c:v>
                </c:pt>
                <c:pt idx="54">
                  <c:v>1.8148148148148149</c:v>
                </c:pt>
                <c:pt idx="55">
                  <c:v>0.79500000000000004</c:v>
                </c:pt>
                <c:pt idx="56">
                  <c:v>0.80625000000000002</c:v>
                </c:pt>
              </c:numCache>
            </c:numRef>
          </c:xVal>
          <c:yVal>
            <c:numRef>
              <c:f>'VEE vs CWI'!$T$5:$T$61</c:f>
              <c:numCache>
                <c:formatCode>General</c:formatCode>
                <c:ptCount val="57"/>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0.43421682924869276</c:v>
                </c:pt>
                <c:pt idx="28">
                  <c:v>0.51737053669667088</c:v>
                </c:pt>
                <c:pt idx="29">
                  <c:v>0.41324564880803272</c:v>
                </c:pt>
                <c:pt idx="30">
                  <c:v>0.35385588880110208</c:v>
                </c:pt>
                <c:pt idx="31">
                  <c:v>0.64650467519862653</c:v>
                </c:pt>
                <c:pt idx="32">
                  <c:v>0.46176955466999386</c:v>
                </c:pt>
                <c:pt idx="33">
                  <c:v>0.24927049876499843</c:v>
                </c:pt>
                <c:pt idx="34">
                  <c:v>0.29870050466765286</c:v>
                </c:pt>
                <c:pt idx="35">
                  <c:v>0.35720763531243382</c:v>
                </c:pt>
                <c:pt idx="36">
                  <c:v>0.64223847178680371</c:v>
                </c:pt>
                <c:pt idx="37">
                  <c:v>0.81297318603341906</c:v>
                </c:pt>
                <c:pt idx="38">
                  <c:v>0.63783554125578279</c:v>
                </c:pt>
                <c:pt idx="39">
                  <c:v>0.67002341102504559</c:v>
                </c:pt>
                <c:pt idx="40">
                  <c:v>0.44860182578756386</c:v>
                </c:pt>
                <c:pt idx="41">
                  <c:v>0.71134241961842792</c:v>
                </c:pt>
                <c:pt idx="42">
                  <c:v>0.64671011679267909</c:v>
                </c:pt>
                <c:pt idx="43">
                  <c:v>0.56302104029619071</c:v>
                </c:pt>
                <c:pt idx="44">
                  <c:v>0.52190289170522752</c:v>
                </c:pt>
                <c:pt idx="45">
                  <c:v>0.60088703131137378</c:v>
                </c:pt>
                <c:pt idx="46">
                  <c:v>0.68859184337386226</c:v>
                </c:pt>
                <c:pt idx="47">
                  <c:v>0.78436931818181821</c:v>
                </c:pt>
                <c:pt idx="48">
                  <c:v>0.45687068965517241</c:v>
                </c:pt>
                <c:pt idx="49">
                  <c:v>0.90142150649464692</c:v>
                </c:pt>
                <c:pt idx="50">
                  <c:v>0.78987730061349692</c:v>
                </c:pt>
                <c:pt idx="51">
                  <c:v>0.49829584185412407</c:v>
                </c:pt>
                <c:pt idx="52">
                  <c:v>0.31948343627175746</c:v>
                </c:pt>
                <c:pt idx="53">
                  <c:v>0.92500000000000004</c:v>
                </c:pt>
                <c:pt idx="54">
                  <c:v>0.83518518518518514</c:v>
                </c:pt>
                <c:pt idx="55">
                  <c:v>0.64687499999999998</c:v>
                </c:pt>
                <c:pt idx="56">
                  <c:v>0.65562500000000001</c:v>
                </c:pt>
              </c:numCache>
            </c:numRef>
          </c:yVal>
          <c:smooth val="0"/>
          <c:extLst>
            <c:ext xmlns:c16="http://schemas.microsoft.com/office/drawing/2014/chart" uri="{C3380CC4-5D6E-409C-BE32-E72D297353CC}">
              <c16:uniqueId val="{00000001-401A-7041-B89D-88FD214DF653}"/>
            </c:ext>
          </c:extLst>
        </c:ser>
        <c:ser>
          <c:idx val="4"/>
          <c:order val="2"/>
          <c:tx>
            <c:v>Pinus</c:v>
          </c:tx>
          <c:spPr>
            <a:ln w="25400" cap="rnd">
              <a:solidFill>
                <a:schemeClr val="tx1"/>
              </a:solidFill>
              <a:prstDash val="dash"/>
              <a:round/>
            </a:ln>
            <a:effectLst/>
          </c:spPr>
          <c:marker>
            <c:symbol val="none"/>
          </c:marker>
          <c:xVal>
            <c:numRef>
              <c:f>'VEE vs CWI'!$R$63:$R$84</c:f>
              <c:numCache>
                <c:formatCode>General</c:formatCode>
                <c:ptCount val="22"/>
                <c:pt idx="0">
                  <c:v>0.01</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2.5</c:v>
                </c:pt>
              </c:numCache>
            </c:numRef>
          </c:xVal>
          <c:yVal>
            <c:numRef>
              <c:f>'VEE vs CWI'!$W$63:$W$84</c:f>
              <c:numCache>
                <c:formatCode>General</c:formatCode>
                <c:ptCount val="22"/>
                <c:pt idx="0">
                  <c:v>9.9979921813007078E-3</c:v>
                </c:pt>
                <c:pt idx="1">
                  <c:v>9.9128203391618319E-2</c:v>
                </c:pt>
                <c:pt idx="2">
                  <c:v>0.19459343614458047</c:v>
                </c:pt>
                <c:pt idx="3">
                  <c:v>0.28437462725674645</c:v>
                </c:pt>
                <c:pt idx="4">
                  <c:v>0.36708989963152305</c:v>
                </c:pt>
                <c:pt idx="5">
                  <c:v>0.44189990800803547</c:v>
                </c:pt>
                <c:pt idx="6">
                  <c:v>0.50848044834714234</c:v>
                </c:pt>
                <c:pt idx="7">
                  <c:v>0.56695883869425701</c:v>
                </c:pt>
                <c:pt idx="8">
                  <c:v>0.6178077395506818</c:v>
                </c:pt>
                <c:pt idx="9">
                  <c:v>0.66171998954975653</c:v>
                </c:pt>
                <c:pt idx="10">
                  <c:v>0.69949219570545762</c:v>
                </c:pt>
                <c:pt idx="11">
                  <c:v>0.73193477270424379</c:v>
                </c:pt>
                <c:pt idx="12">
                  <c:v>0.7598132331520242</c:v>
                </c:pt>
                <c:pt idx="13">
                  <c:v>0.78381668681769123</c:v>
                </c:pt>
                <c:pt idx="14">
                  <c:v>0.80454600810549626</c:v>
                </c:pt>
                <c:pt idx="15">
                  <c:v>0.82251427489700357</c:v>
                </c:pt>
                <c:pt idx="16">
                  <c:v>0.83815378548519237</c:v>
                </c:pt>
                <c:pt idx="17">
                  <c:v>0.85182587471561422</c:v>
                </c:pt>
                <c:pt idx="18">
                  <c:v>0.86383129689007099</c:v>
                </c:pt>
                <c:pt idx="19">
                  <c:v>0.87442000553493138</c:v>
                </c:pt>
                <c:pt idx="20">
                  <c:v>0.88379981601607138</c:v>
                </c:pt>
                <c:pt idx="21">
                  <c:v>0.91772474907880719</c:v>
                </c:pt>
              </c:numCache>
            </c:numRef>
          </c:yVal>
          <c:smooth val="0"/>
          <c:extLst>
            <c:ext xmlns:c16="http://schemas.microsoft.com/office/drawing/2014/chart" uri="{C3380CC4-5D6E-409C-BE32-E72D297353CC}">
              <c16:uniqueId val="{00000002-401A-7041-B89D-88FD214DF653}"/>
            </c:ext>
          </c:extLst>
        </c:ser>
        <c:ser>
          <c:idx val="2"/>
          <c:order val="3"/>
          <c:tx>
            <c:v>Eucalyptus</c:v>
          </c:tx>
          <c:spPr>
            <a:ln w="25400" cap="rnd">
              <a:solidFill>
                <a:schemeClr val="tx1"/>
              </a:solidFill>
              <a:prstDash val="sysDot"/>
              <a:round/>
            </a:ln>
            <a:effectLst/>
          </c:spPr>
          <c:marker>
            <c:symbol val="none"/>
          </c:marker>
          <c:xVal>
            <c:numRef>
              <c:f>'VEE vs CWI'!$R$63:$R$84</c:f>
              <c:numCache>
                <c:formatCode>General</c:formatCode>
                <c:ptCount val="22"/>
                <c:pt idx="0">
                  <c:v>0.01</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2.5</c:v>
                </c:pt>
              </c:numCache>
            </c:numRef>
          </c:xVal>
          <c:yVal>
            <c:numRef>
              <c:f>'VEE vs CWI'!$V$63:$V$84</c:f>
              <c:numCache>
                <c:formatCode>General</c:formatCode>
                <c:ptCount val="22"/>
                <c:pt idx="0">
                  <c:v>9.9992715904433371E-3</c:v>
                </c:pt>
                <c:pt idx="1">
                  <c:v>9.9493973172983363E-2</c:v>
                </c:pt>
                <c:pt idx="2">
                  <c:v>0.19638209626212366</c:v>
                </c:pt>
                <c:pt idx="3">
                  <c:v>0.28862856120043823</c:v>
                </c:pt>
                <c:pt idx="4">
                  <c:v>0.37457235395631772</c:v>
                </c:pt>
                <c:pt idx="5">
                  <c:v>0.45298859815670656</c:v>
                </c:pt>
                <c:pt idx="6">
                  <c:v>0.52316304136949277</c:v>
                </c:pt>
                <c:pt idx="7">
                  <c:v>0.58490610364916185</c:v>
                </c:pt>
                <c:pt idx="8">
                  <c:v>0.63848795004462677</c:v>
                </c:pt>
                <c:pt idx="9">
                  <c:v>0.68451542805735044</c:v>
                </c:pt>
                <c:pt idx="10">
                  <c:v>0.7237907605969085</c:v>
                </c:pt>
                <c:pt idx="11">
                  <c:v>0.75718718955130715</c:v>
                </c:pt>
                <c:pt idx="12">
                  <c:v>0.78555948034717238</c:v>
                </c:pt>
                <c:pt idx="13">
                  <c:v>0.80969084772963407</c:v>
                </c:pt>
                <c:pt idx="14">
                  <c:v>0.8302688160399454</c:v>
                </c:pt>
                <c:pt idx="15">
                  <c:v>0.84788024903567405</c:v>
                </c:pt>
                <c:pt idx="16">
                  <c:v>0.86301720138049398</c:v>
                </c:pt>
                <c:pt idx="17">
                  <c:v>0.87608776573631775</c:v>
                </c:pt>
                <c:pt idx="18">
                  <c:v>0.88742837935111862</c:v>
                </c:pt>
                <c:pt idx="19">
                  <c:v>0.89731570022935214</c:v>
                </c:pt>
                <c:pt idx="20">
                  <c:v>0.90597719631341311</c:v>
                </c:pt>
                <c:pt idx="21">
                  <c:v>0.93643088489079407</c:v>
                </c:pt>
              </c:numCache>
            </c:numRef>
          </c:yVal>
          <c:smooth val="0"/>
          <c:extLst>
            <c:ext xmlns:c16="http://schemas.microsoft.com/office/drawing/2014/chart" uri="{C3380CC4-5D6E-409C-BE32-E72D297353CC}">
              <c16:uniqueId val="{00000003-401A-7041-B89D-88FD214DF653}"/>
            </c:ext>
          </c:extLst>
        </c:ser>
        <c:ser>
          <c:idx val="3"/>
          <c:order val="4"/>
          <c:tx>
            <c:v>All Data</c:v>
          </c:tx>
          <c:spPr>
            <a:ln w="25400" cap="rnd">
              <a:solidFill>
                <a:schemeClr val="tx1"/>
              </a:solidFill>
              <a:round/>
            </a:ln>
            <a:effectLst/>
          </c:spPr>
          <c:marker>
            <c:symbol val="none"/>
          </c:marker>
          <c:xVal>
            <c:numRef>
              <c:f>'VEE vs CWI'!$R$63:$R$84</c:f>
              <c:numCache>
                <c:formatCode>General</c:formatCode>
                <c:ptCount val="22"/>
                <c:pt idx="0">
                  <c:v>0.01</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2.5</c:v>
                </c:pt>
              </c:numCache>
            </c:numRef>
          </c:xVal>
          <c:yVal>
            <c:numRef>
              <c:f>'VEE vs CWI'!$U$63:$U$84</c:f>
              <c:numCache>
                <c:formatCode>General</c:formatCode>
                <c:ptCount val="22"/>
                <c:pt idx="0">
                  <c:v>9.9987914935280031E-3</c:v>
                </c:pt>
                <c:pt idx="1">
                  <c:v>9.9336258942203326E-2</c:v>
                </c:pt>
                <c:pt idx="2">
                  <c:v>0.19558019557317818</c:v>
                </c:pt>
                <c:pt idx="3">
                  <c:v>0.28667886965829292</c:v>
                </c:pt>
                <c:pt idx="4">
                  <c:v>0.3710911853516039</c:v>
                </c:pt>
                <c:pt idx="5">
                  <c:v>0.44777394247895619</c:v>
                </c:pt>
                <c:pt idx="6">
                  <c:v>0.51620507609586963</c:v>
                </c:pt>
                <c:pt idx="7">
                  <c:v>0.5763562086486651</c:v>
                </c:pt>
                <c:pt idx="8">
                  <c:v>0.6286035701265591</c:v>
                </c:pt>
                <c:pt idx="9">
                  <c:v>0.67360119637954696</c:v>
                </c:pt>
                <c:pt idx="10">
                  <c:v>0.71215095006058049</c:v>
                </c:pt>
                <c:pt idx="11">
                  <c:v>0.74509547210531246</c:v>
                </c:pt>
                <c:pt idx="12">
                  <c:v>0.77324470402708689</c:v>
                </c:pt>
                <c:pt idx="13">
                  <c:v>0.79733421361838563</c:v>
                </c:pt>
                <c:pt idx="14">
                  <c:v>0.81800760510321591</c:v>
                </c:pt>
                <c:pt idx="15">
                  <c:v>0.83581443476614736</c:v>
                </c:pt>
                <c:pt idx="16">
                  <c:v>0.85121668528433858</c:v>
                </c:pt>
                <c:pt idx="17">
                  <c:v>0.8645990676733879</c:v>
                </c:pt>
                <c:pt idx="18">
                  <c:v>0.87628031325099998</c:v>
                </c:pt>
                <c:pt idx="19">
                  <c:v>0.88652394965717107</c:v>
                </c:pt>
                <c:pt idx="20">
                  <c:v>0.89554788495791238</c:v>
                </c:pt>
                <c:pt idx="21">
                  <c:v>0.92772796337900942</c:v>
                </c:pt>
              </c:numCache>
            </c:numRef>
          </c:yVal>
          <c:smooth val="0"/>
          <c:extLst>
            <c:ext xmlns:c16="http://schemas.microsoft.com/office/drawing/2014/chart" uri="{C3380CC4-5D6E-409C-BE32-E72D297353CC}">
              <c16:uniqueId val="{00000004-401A-7041-B89D-88FD214DF653}"/>
            </c:ext>
          </c:extLst>
        </c:ser>
        <c:ser>
          <c:idx val="5"/>
          <c:order val="5"/>
          <c:spPr>
            <a:ln w="25400" cap="rnd">
              <a:solidFill>
                <a:schemeClr val="bg2">
                  <a:lumMod val="90000"/>
                </a:schemeClr>
              </a:solidFill>
              <a:round/>
            </a:ln>
            <a:effectLst/>
          </c:spPr>
          <c:marker>
            <c:symbol val="none"/>
          </c:marker>
          <c:xVal>
            <c:numRef>
              <c:f>'VEE vs CWI'!$U$85:$U$86</c:f>
              <c:numCache>
                <c:formatCode>General</c:formatCode>
                <c:ptCount val="2"/>
                <c:pt idx="0">
                  <c:v>0</c:v>
                </c:pt>
                <c:pt idx="1">
                  <c:v>1</c:v>
                </c:pt>
              </c:numCache>
            </c:numRef>
          </c:xVal>
          <c:yVal>
            <c:numRef>
              <c:f>'VEE vs CWI'!$V$85:$V$86</c:f>
              <c:numCache>
                <c:formatCode>General</c:formatCode>
                <c:ptCount val="2"/>
                <c:pt idx="0">
                  <c:v>0</c:v>
                </c:pt>
                <c:pt idx="1">
                  <c:v>1</c:v>
                </c:pt>
              </c:numCache>
            </c:numRef>
          </c:yVal>
          <c:smooth val="0"/>
          <c:extLst>
            <c:ext xmlns:c16="http://schemas.microsoft.com/office/drawing/2014/chart" uri="{C3380CC4-5D6E-409C-BE32-E72D297353CC}">
              <c16:uniqueId val="{00000005-401A-7041-B89D-88FD214DF653}"/>
            </c:ext>
          </c:extLst>
        </c:ser>
        <c:ser>
          <c:idx val="6"/>
          <c:order val="6"/>
          <c:spPr>
            <a:ln w="25400" cap="rnd">
              <a:solidFill>
                <a:schemeClr val="bg2">
                  <a:lumMod val="90000"/>
                </a:schemeClr>
              </a:solidFill>
              <a:round/>
            </a:ln>
            <a:effectLst/>
          </c:spPr>
          <c:marker>
            <c:symbol val="none"/>
          </c:marker>
          <c:xVal>
            <c:numRef>
              <c:f>'VEE vs CWI'!$U$86:$U$87</c:f>
              <c:numCache>
                <c:formatCode>General</c:formatCode>
                <c:ptCount val="2"/>
                <c:pt idx="0">
                  <c:v>1</c:v>
                </c:pt>
                <c:pt idx="1">
                  <c:v>2.5</c:v>
                </c:pt>
              </c:numCache>
            </c:numRef>
          </c:xVal>
          <c:yVal>
            <c:numRef>
              <c:f>'VEE vs CWI'!$V$86:$V$87</c:f>
              <c:numCache>
                <c:formatCode>General</c:formatCode>
                <c:ptCount val="2"/>
                <c:pt idx="0">
                  <c:v>1</c:v>
                </c:pt>
                <c:pt idx="1">
                  <c:v>1</c:v>
                </c:pt>
              </c:numCache>
            </c:numRef>
          </c:yVal>
          <c:smooth val="0"/>
          <c:extLst>
            <c:ext xmlns:c16="http://schemas.microsoft.com/office/drawing/2014/chart" uri="{C3380CC4-5D6E-409C-BE32-E72D297353CC}">
              <c16:uniqueId val="{00000006-401A-7041-B89D-88FD214DF653}"/>
            </c:ext>
          </c:extLst>
        </c:ser>
        <c:dLbls>
          <c:showLegendKey val="0"/>
          <c:showVal val="0"/>
          <c:showCatName val="0"/>
          <c:showSerName val="0"/>
          <c:showPercent val="0"/>
          <c:showBubbleSize val="0"/>
        </c:dLbls>
        <c:axId val="285637519"/>
        <c:axId val="144126383"/>
      </c:scatterChart>
      <c:valAx>
        <c:axId val="285637519"/>
        <c:scaling>
          <c:orientation val="minMax"/>
          <c:max val="2.5"/>
        </c:scaling>
        <c:delete val="0"/>
        <c:axPos val="b"/>
        <c:title>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GB"/>
                  <a:t>Climate wetness index (P/PET)</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144126383"/>
        <c:crosses val="autoZero"/>
        <c:crossBetween val="midCat"/>
      </c:valAx>
      <c:valAx>
        <c:axId val="144126383"/>
        <c:scaling>
          <c:orientation val="minMax"/>
        </c:scaling>
        <c:delete val="0"/>
        <c:axPos val="l"/>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GB"/>
                  <a:t>Vegetation evaporation</a:t>
                </a:r>
                <a:r>
                  <a:rPr lang="en-GB" baseline="0"/>
                  <a:t> efficiency</a:t>
                </a:r>
                <a:r>
                  <a:rPr lang="en-GB"/>
                  <a:t> (ET/PET)</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85637519"/>
        <c:crosses val="autoZero"/>
        <c:crossBetween val="midCat"/>
      </c:valAx>
      <c:spPr>
        <a:noFill/>
        <a:ln>
          <a:noFill/>
        </a:ln>
        <a:effectLst/>
      </c:spPr>
    </c:plotArea>
    <c:legend>
      <c:legendPos val="b"/>
      <c:legendEntry>
        <c:idx val="5"/>
        <c:delete val="1"/>
      </c:legendEntry>
      <c:legendEntry>
        <c:idx val="6"/>
        <c:delete val="1"/>
      </c:legendEntry>
      <c:layout>
        <c:manualLayout>
          <c:xMode val="edge"/>
          <c:yMode val="edge"/>
          <c:x val="0.18445078407454299"/>
          <c:y val="2.9529905696305276E-3"/>
          <c:w val="0.79168602184312342"/>
          <c:h val="0.13685610722443389"/>
        </c:manualLayout>
      </c:layout>
      <c:overlay val="1"/>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solidFill>
      <a:round/>
    </a:ln>
    <a:effectLst/>
  </c:spPr>
  <c:txPr>
    <a:bodyPr/>
    <a:lstStyle/>
    <a:p>
      <a:pPr>
        <a:defRPr sz="1100" baseline="0">
          <a:solidFill>
            <a:schemeClr val="tx1"/>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Pinus</c:v>
          </c:tx>
          <c:spPr>
            <a:ln w="25400"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linear"/>
            <c:intercept val="0"/>
            <c:dispRSqr val="1"/>
            <c:dispEq val="1"/>
            <c:trendlineLbl>
              <c:layout>
                <c:manualLayout>
                  <c:x val="-7.361469204723059E-2"/>
                  <c:y val="0.29646057900008582"/>
                </c:manualLayout>
              </c:layout>
              <c:tx>
                <c:rich>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r>
                      <a:rPr lang="en-US" baseline="0"/>
                      <a:t>y = 0.51x</a:t>
                    </a:r>
                    <a:br>
                      <a:rPr lang="en-US" baseline="0"/>
                    </a:br>
                    <a:r>
                      <a:rPr lang="en-US" baseline="0"/>
                      <a:t>R² = 0.85</a:t>
                    </a:r>
                    <a:endParaRPr lang="en-US"/>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trendlineLbl>
          </c:trendline>
          <c:xVal>
            <c:numRef>
              <c:f>'VEE vs CWI'!$Y$5:$Y$54</c:f>
              <c:numCache>
                <c:formatCode>General</c:formatCode>
                <c:ptCount val="50"/>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pt idx="23">
                  <c:v>1050</c:v>
                </c:pt>
                <c:pt idx="24">
                  <c:v>940</c:v>
                </c:pt>
                <c:pt idx="25">
                  <c:v>956</c:v>
                </c:pt>
                <c:pt idx="26">
                  <c:v>1084</c:v>
                </c:pt>
                <c:pt idx="27">
                  <c:v>648</c:v>
                </c:pt>
                <c:pt idx="28">
                  <c:v>795</c:v>
                </c:pt>
                <c:pt idx="29">
                  <c:v>635</c:v>
                </c:pt>
                <c:pt idx="30">
                  <c:v>540</c:v>
                </c:pt>
                <c:pt idx="31">
                  <c:v>1155.2884615384614</c:v>
                </c:pt>
                <c:pt idx="32">
                  <c:v>682</c:v>
                </c:pt>
                <c:pt idx="33">
                  <c:v>354.94634920634928</c:v>
                </c:pt>
                <c:pt idx="34">
                  <c:v>487.33500000000009</c:v>
                </c:pt>
                <c:pt idx="35">
                  <c:v>716</c:v>
                </c:pt>
                <c:pt idx="36">
                  <c:v>982.53846153846155</c:v>
                </c:pt>
                <c:pt idx="37">
                  <c:v>1087</c:v>
                </c:pt>
                <c:pt idx="38">
                  <c:v>988</c:v>
                </c:pt>
                <c:pt idx="39">
                  <c:v>1123</c:v>
                </c:pt>
                <c:pt idx="40">
                  <c:v>754</c:v>
                </c:pt>
                <c:pt idx="41">
                  <c:v>979</c:v>
                </c:pt>
                <c:pt idx="42">
                  <c:v>1129.3333333333333</c:v>
                </c:pt>
                <c:pt idx="43">
                  <c:v>951</c:v>
                </c:pt>
                <c:pt idx="44">
                  <c:v>859</c:v>
                </c:pt>
                <c:pt idx="45">
                  <c:v>989</c:v>
                </c:pt>
                <c:pt idx="46">
                  <c:v>972</c:v>
                </c:pt>
                <c:pt idx="47">
                  <c:v>862.80624999999998</c:v>
                </c:pt>
                <c:pt idx="48">
                  <c:v>662.46249999999998</c:v>
                </c:pt>
                <c:pt idx="49">
                  <c:v>1291</c:v>
                </c:pt>
              </c:numCache>
            </c:numRef>
          </c:xVal>
          <c:yVal>
            <c:numRef>
              <c:f>'VEE vs CWI'!$Z$5:$Z$54</c:f>
              <c:numCache>
                <c:formatCode>General</c:formatCode>
                <c:ptCount val="50"/>
                <c:pt idx="0">
                  <c:v>533.5</c:v>
                </c:pt>
                <c:pt idx="1">
                  <c:v>522</c:v>
                </c:pt>
                <c:pt idx="2">
                  <c:v>332.5</c:v>
                </c:pt>
                <c:pt idx="3">
                  <c:v>402</c:v>
                </c:pt>
                <c:pt idx="4">
                  <c:v>190</c:v>
                </c:pt>
                <c:pt idx="5">
                  <c:v>274</c:v>
                </c:pt>
                <c:pt idx="8">
                  <c:v>497</c:v>
                </c:pt>
                <c:pt idx="9">
                  <c:v>316</c:v>
                </c:pt>
                <c:pt idx="10">
                  <c:v>377</c:v>
                </c:pt>
                <c:pt idx="11">
                  <c:v>440.33333333333331</c:v>
                </c:pt>
                <c:pt idx="22">
                  <c:v>450</c:v>
                </c:pt>
                <c:pt idx="27">
                  <c:v>395</c:v>
                </c:pt>
                <c:pt idx="28">
                  <c:v>410</c:v>
                </c:pt>
                <c:pt idx="29">
                  <c:v>380</c:v>
                </c:pt>
                <c:pt idx="30">
                  <c:v>270</c:v>
                </c:pt>
                <c:pt idx="49">
                  <c:v>706</c:v>
                </c:pt>
              </c:numCache>
            </c:numRef>
          </c:yVal>
          <c:smooth val="0"/>
          <c:extLst>
            <c:ext xmlns:c16="http://schemas.microsoft.com/office/drawing/2014/chart" uri="{C3380CC4-5D6E-409C-BE32-E72D297353CC}">
              <c16:uniqueId val="{00000001-4872-844D-8FFE-73E2BA1C977D}"/>
            </c:ext>
          </c:extLst>
        </c:ser>
        <c:ser>
          <c:idx val="1"/>
          <c:order val="1"/>
          <c:spPr>
            <a:ln w="25400" cap="rnd">
              <a:noFill/>
              <a:round/>
            </a:ln>
            <a:effectLst/>
          </c:spPr>
          <c:marker>
            <c:symbol val="circle"/>
            <c:size val="5"/>
            <c:spPr>
              <a:solidFill>
                <a:schemeClr val="bg1"/>
              </a:solidFill>
              <a:ln w="9525">
                <a:solidFill>
                  <a:schemeClr val="tx1"/>
                </a:solidFill>
              </a:ln>
              <a:effectLst/>
            </c:spPr>
          </c:marker>
          <c:xVal>
            <c:numRef>
              <c:f>'VEE vs CWI'!$Y$5:$Y$31</c:f>
              <c:numCache>
                <c:formatCode>General</c:formatCode>
                <c:ptCount val="27"/>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pt idx="23">
                  <c:v>1050</c:v>
                </c:pt>
                <c:pt idx="24">
                  <c:v>940</c:v>
                </c:pt>
                <c:pt idx="25">
                  <c:v>956</c:v>
                </c:pt>
                <c:pt idx="26">
                  <c:v>1084</c:v>
                </c:pt>
              </c:numCache>
            </c:numRef>
          </c:xVal>
          <c:yVal>
            <c:numRef>
              <c:f>'VEE vs CWI'!$Z$5:$Z$31</c:f>
              <c:numCache>
                <c:formatCode>General</c:formatCode>
                <c:ptCount val="27"/>
                <c:pt idx="0">
                  <c:v>533.5</c:v>
                </c:pt>
                <c:pt idx="1">
                  <c:v>522</c:v>
                </c:pt>
                <c:pt idx="2">
                  <c:v>332.5</c:v>
                </c:pt>
                <c:pt idx="3">
                  <c:v>402</c:v>
                </c:pt>
                <c:pt idx="4">
                  <c:v>190</c:v>
                </c:pt>
                <c:pt idx="5">
                  <c:v>274</c:v>
                </c:pt>
                <c:pt idx="8">
                  <c:v>497</c:v>
                </c:pt>
                <c:pt idx="9">
                  <c:v>316</c:v>
                </c:pt>
                <c:pt idx="10">
                  <c:v>377</c:v>
                </c:pt>
                <c:pt idx="11">
                  <c:v>440.33333333333331</c:v>
                </c:pt>
                <c:pt idx="22">
                  <c:v>450</c:v>
                </c:pt>
              </c:numCache>
            </c:numRef>
          </c:yVal>
          <c:smooth val="0"/>
          <c:extLst>
            <c:ext xmlns:c16="http://schemas.microsoft.com/office/drawing/2014/chart" uri="{C3380CC4-5D6E-409C-BE32-E72D297353CC}">
              <c16:uniqueId val="{00000002-4872-844D-8FFE-73E2BA1C977D}"/>
            </c:ext>
          </c:extLst>
        </c:ser>
        <c:dLbls>
          <c:showLegendKey val="0"/>
          <c:showVal val="0"/>
          <c:showCatName val="0"/>
          <c:showSerName val="0"/>
          <c:showPercent val="0"/>
          <c:showBubbleSize val="0"/>
        </c:dLbls>
        <c:axId val="1104981040"/>
        <c:axId val="1105074528"/>
      </c:scatterChart>
      <c:valAx>
        <c:axId val="11049810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j-lt"/>
                    <a:ea typeface="+mn-ea"/>
                    <a:cs typeface="+mn-cs"/>
                  </a:defRPr>
                </a:pPr>
                <a:r>
                  <a:rPr lang="en-GB"/>
                  <a:t>Annual Evapotranspiration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j-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crossAx val="1105074528"/>
        <c:crosses val="autoZero"/>
        <c:crossBetween val="midCat"/>
      </c:valAx>
      <c:valAx>
        <c:axId val="110507452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j-lt"/>
                    <a:ea typeface="+mn-ea"/>
                    <a:cs typeface="+mn-cs"/>
                  </a:defRPr>
                </a:pPr>
                <a:r>
                  <a:rPr lang="en-GB"/>
                  <a:t>Annual Transpiration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j-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crossAx val="1104981040"/>
        <c:crosses val="autoZero"/>
        <c:crossBetween val="midCat"/>
      </c:valAx>
      <c:spPr>
        <a:noFill/>
        <a:ln>
          <a:noFill/>
        </a:ln>
        <a:effectLst/>
      </c:spPr>
    </c:plotArea>
    <c:legend>
      <c:legendPos val="r"/>
      <c:legendEntry>
        <c:idx val="2"/>
        <c:delete val="1"/>
      </c:legendEntry>
      <c:layout>
        <c:manualLayout>
          <c:xMode val="edge"/>
          <c:yMode val="edge"/>
          <c:x val="0.58127851077509218"/>
          <c:y val="0.49187024256904971"/>
          <c:w val="0.22890636334009651"/>
          <c:h val="0.17952253308761937"/>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solidFill>
      <a:round/>
    </a:ln>
    <a:effectLst/>
  </c:spPr>
  <c:txPr>
    <a:bodyPr/>
    <a:lstStyle/>
    <a:p>
      <a:pPr>
        <a:defRPr baseline="0">
          <a:solidFill>
            <a:schemeClr val="tx1"/>
          </a:solidFill>
          <a:latin typeface="+mj-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bg1"/>
              </a:solid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41365288713910764"/>
                  <c:y val="4.428474721202835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'VEE vs CWI'!$AD$5:$AD$31</c:f>
              <c:numCache>
                <c:formatCode>General</c:formatCode>
                <c:ptCount val="27"/>
                <c:pt idx="0">
                  <c:v>3.5</c:v>
                </c:pt>
                <c:pt idx="1">
                  <c:v>3.5</c:v>
                </c:pt>
                <c:pt idx="2">
                  <c:v>1</c:v>
                </c:pt>
                <c:pt idx="3">
                  <c:v>10</c:v>
                </c:pt>
                <c:pt idx="4">
                  <c:v>5</c:v>
                </c:pt>
                <c:pt idx="5">
                  <c:v>8</c:v>
                </c:pt>
                <c:pt idx="6">
                  <c:v>30</c:v>
                </c:pt>
                <c:pt idx="7">
                  <c:v>10</c:v>
                </c:pt>
                <c:pt idx="8">
                  <c:v>20</c:v>
                </c:pt>
                <c:pt idx="9">
                  <c:v>5</c:v>
                </c:pt>
                <c:pt idx="10">
                  <c:v>5</c:v>
                </c:pt>
                <c:pt idx="11">
                  <c:v>7</c:v>
                </c:pt>
                <c:pt idx="12">
                  <c:v>5</c:v>
                </c:pt>
                <c:pt idx="21">
                  <c:v>1</c:v>
                </c:pt>
                <c:pt idx="22">
                  <c:v>1</c:v>
                </c:pt>
                <c:pt idx="23">
                  <c:v>3</c:v>
                </c:pt>
                <c:pt idx="24">
                  <c:v>3</c:v>
                </c:pt>
                <c:pt idx="25">
                  <c:v>4</c:v>
                </c:pt>
                <c:pt idx="26">
                  <c:v>4</c:v>
                </c:pt>
              </c:numCache>
            </c:numRef>
          </c:xVal>
          <c:yVal>
            <c:numRef>
              <c:f>'VEE vs CWI'!$AC$5:$AC$31</c:f>
              <c:numCache>
                <c:formatCode>General</c:formatCode>
                <c:ptCount val="27"/>
                <c:pt idx="0">
                  <c:v>-7.164162305663091E-2</c:v>
                </c:pt>
                <c:pt idx="1">
                  <c:v>-0.10440638199642449</c:v>
                </c:pt>
                <c:pt idx="2">
                  <c:v>-0.12527880496871346</c:v>
                </c:pt>
                <c:pt idx="3">
                  <c:v>3.2243107404009708E-2</c:v>
                </c:pt>
                <c:pt idx="4">
                  <c:v>-0.13845485301620847</c:v>
                </c:pt>
                <c:pt idx="5">
                  <c:v>-5.2760494568037108E-2</c:v>
                </c:pt>
                <c:pt idx="6">
                  <c:v>0.19878503098651645</c:v>
                </c:pt>
                <c:pt idx="7">
                  <c:v>-7.4422692657521994E-2</c:v>
                </c:pt>
                <c:pt idx="8">
                  <c:v>0.15458348293084501</c:v>
                </c:pt>
                <c:pt idx="9">
                  <c:v>-0.12474840046552815</c:v>
                </c:pt>
                <c:pt idx="10">
                  <c:v>-6.3597069525149985E-2</c:v>
                </c:pt>
                <c:pt idx="11">
                  <c:v>9.4186301348857526E-3</c:v>
                </c:pt>
                <c:pt idx="12">
                  <c:v>1.8377841923324534E-2</c:v>
                </c:pt>
                <c:pt idx="13">
                  <c:v>0.12783400895116437</c:v>
                </c:pt>
                <c:pt idx="14">
                  <c:v>0.11072563180053463</c:v>
                </c:pt>
                <c:pt idx="15">
                  <c:v>4.7974931195957526E-2</c:v>
                </c:pt>
                <c:pt idx="16">
                  <c:v>0.22690686954334705</c:v>
                </c:pt>
                <c:pt idx="17">
                  <c:v>0.22690686954334705</c:v>
                </c:pt>
                <c:pt idx="18">
                  <c:v>-8.0631002733036805E-2</c:v>
                </c:pt>
                <c:pt idx="19">
                  <c:v>9.8243114408426813E-2</c:v>
                </c:pt>
                <c:pt idx="20">
                  <c:v>0.10642047221326056</c:v>
                </c:pt>
                <c:pt idx="21">
                  <c:v>-8.5862606375799566E-2</c:v>
                </c:pt>
                <c:pt idx="22">
                  <c:v>-0.26137573680570514</c:v>
                </c:pt>
                <c:pt idx="23">
                  <c:v>4.9417692078327691E-2</c:v>
                </c:pt>
                <c:pt idx="24">
                  <c:v>-4.6234481834715679E-2</c:v>
                </c:pt>
                <c:pt idx="25">
                  <c:v>-4.1918169146637818E-2</c:v>
                </c:pt>
                <c:pt idx="26">
                  <c:v>4.528175944214019E-2</c:v>
                </c:pt>
              </c:numCache>
            </c:numRef>
          </c:yVal>
          <c:smooth val="0"/>
          <c:extLst>
            <c:ext xmlns:c16="http://schemas.microsoft.com/office/drawing/2014/chart" uri="{C3380CC4-5D6E-409C-BE32-E72D297353CC}">
              <c16:uniqueId val="{00000001-68E6-2A47-BE9B-75FF97A0590B}"/>
            </c:ext>
          </c:extLst>
        </c:ser>
        <c:dLbls>
          <c:showLegendKey val="0"/>
          <c:showVal val="0"/>
          <c:showCatName val="0"/>
          <c:showSerName val="0"/>
          <c:showPercent val="0"/>
          <c:showBubbleSize val="0"/>
        </c:dLbls>
        <c:axId val="1813779999"/>
        <c:axId val="1813905055"/>
      </c:scatterChart>
      <c:valAx>
        <c:axId val="181377999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Soil depth (m)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813905055"/>
        <c:crosses val="autoZero"/>
        <c:crossBetween val="midCat"/>
      </c:valAx>
      <c:valAx>
        <c:axId val="1813905055"/>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Observed - Predicted VEE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8137799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tx1"/>
              </a:solidFill>
              <a:round/>
            </a:ln>
            <a:effectLst/>
          </c:spPr>
          <c:marker>
            <c:symbol val="none"/>
          </c:marker>
          <c:xVal>
            <c:numRef>
              <c:f>'VEE vs CWI'!$R$63:$R$84</c:f>
              <c:numCache>
                <c:formatCode>General</c:formatCode>
                <c:ptCount val="22"/>
                <c:pt idx="0">
                  <c:v>0.01</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2.5</c:v>
                </c:pt>
              </c:numCache>
            </c:numRef>
          </c:xVal>
          <c:yVal>
            <c:numRef>
              <c:f>'VEE vs CWI'!$X$63:$X$84</c:f>
              <c:numCache>
                <c:formatCode>General</c:formatCode>
                <c:ptCount val="22"/>
                <c:pt idx="0">
                  <c:v>1.0001279666076377</c:v>
                </c:pt>
                <c:pt idx="1">
                  <c:v>1.0036898659397671</c:v>
                </c:pt>
                <c:pt idx="2">
                  <c:v>1.0091917803240509</c:v>
                </c:pt>
                <c:pt idx="3">
                  <c:v>1.0149589082005235</c:v>
                </c:pt>
                <c:pt idx="4">
                  <c:v>1.0203831659010651</c:v>
                </c:pt>
                <c:pt idx="5">
                  <c:v>1.0250932166939248</c:v>
                </c:pt>
                <c:pt idx="6">
                  <c:v>1.0288754328117775</c:v>
                </c:pt>
                <c:pt idx="7">
                  <c:v>1.0316553226266629</c:v>
                </c:pt>
                <c:pt idx="8">
                  <c:v>1.0334735374292741</c:v>
                </c:pt>
                <c:pt idx="9">
                  <c:v>1.0344487681611436</c:v>
                </c:pt>
                <c:pt idx="10">
                  <c:v>1.0347374353003969</c:v>
                </c:pt>
                <c:pt idx="11">
                  <c:v>1.03450091154129</c:v>
                </c:pt>
                <c:pt idx="12">
                  <c:v>1.0338849681366327</c:v>
                </c:pt>
                <c:pt idx="13">
                  <c:v>1.0330104747029467</c:v>
                </c:pt>
                <c:pt idx="14">
                  <c:v>1.0319718296720157</c:v>
                </c:pt>
                <c:pt idx="15">
                  <c:v>1.0308395549023717</c:v>
                </c:pt>
                <c:pt idx="16">
                  <c:v>1.029664503490739</c:v>
                </c:pt>
                <c:pt idx="17">
                  <c:v>1.0284822188910421</c:v>
                </c:pt>
                <c:pt idx="18">
                  <c:v>1.0273167718581173</c:v>
                </c:pt>
                <c:pt idx="19">
                  <c:v>1.0261838642179901</c:v>
                </c:pt>
                <c:pt idx="20">
                  <c:v>1.0250932166939244</c:v>
                </c:pt>
                <c:pt idx="21">
                  <c:v>1.0203831659010654</c:v>
                </c:pt>
              </c:numCache>
            </c:numRef>
          </c:yVal>
          <c:smooth val="0"/>
          <c:extLst>
            <c:ext xmlns:c16="http://schemas.microsoft.com/office/drawing/2014/chart" uri="{C3380CC4-5D6E-409C-BE32-E72D297353CC}">
              <c16:uniqueId val="{00000000-DB1F-4348-96E4-9B16DC127443}"/>
            </c:ext>
          </c:extLst>
        </c:ser>
        <c:dLbls>
          <c:showLegendKey val="0"/>
          <c:showVal val="0"/>
          <c:showCatName val="0"/>
          <c:showSerName val="0"/>
          <c:showPercent val="0"/>
          <c:showBubbleSize val="0"/>
        </c:dLbls>
        <c:axId val="344730928"/>
        <c:axId val="344732560"/>
      </c:scatterChart>
      <c:valAx>
        <c:axId val="34473092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Climate Wetness Index (P/PET)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44732560"/>
        <c:crosses val="autoZero"/>
        <c:crossBetween val="midCat"/>
      </c:valAx>
      <c:valAx>
        <c:axId val="34473256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VEE (Eucalypt)/VEE(Pine)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447309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solid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Eucalyptus</c:v>
          </c:tx>
          <c:spPr>
            <a:ln w="19050" cap="rnd">
              <a:noFill/>
              <a:round/>
            </a:ln>
            <a:effectLst/>
          </c:spPr>
          <c:marker>
            <c:symbol val="circle"/>
            <c:size val="5"/>
            <c:spPr>
              <a:noFill/>
              <a:ln w="9525">
                <a:solidFill>
                  <a:schemeClr val="tx1"/>
                </a:solidFill>
              </a:ln>
              <a:effectLst/>
            </c:spPr>
          </c:marker>
          <c:dPt>
            <c:idx val="2"/>
            <c:marker>
              <c:symbol val="circle"/>
              <c:size val="7"/>
              <c:spPr>
                <a:noFill/>
                <a:ln w="9525">
                  <a:solidFill>
                    <a:schemeClr val="tx1"/>
                  </a:solidFill>
                </a:ln>
                <a:effectLst/>
              </c:spPr>
            </c:marker>
            <c:bubble3D val="0"/>
            <c:extLst>
              <c:ext xmlns:c16="http://schemas.microsoft.com/office/drawing/2014/chart" uri="{C3380CC4-5D6E-409C-BE32-E72D297353CC}">
                <c16:uniqueId val="{00000003-688E-9A45-B42B-F9F50A0BD020}"/>
              </c:ext>
            </c:extLst>
          </c:dPt>
          <c:trendline>
            <c:spPr>
              <a:ln w="19050" cap="rnd">
                <a:solidFill>
                  <a:schemeClr val="tx1"/>
                </a:solidFill>
                <a:prstDash val="sysDot"/>
              </a:ln>
              <a:effectLst/>
            </c:spPr>
            <c:trendlineType val="linear"/>
            <c:intercept val="0"/>
            <c:dispRSqr val="1"/>
            <c:dispEq val="1"/>
            <c:trendlineLbl>
              <c:layout>
                <c:manualLayout>
                  <c:x val="4.5381233595800527E-2"/>
                  <c:y val="0.2496062992125984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'VEE vs CWI'!$Y$5:$Y$27</c:f>
              <c:numCache>
                <c:formatCode>General</c:formatCode>
                <c:ptCount val="23"/>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numCache>
            </c:numRef>
          </c:xVal>
          <c:yVal>
            <c:numRef>
              <c:f>'VEE vs CWI'!$Z$5:$Z$27</c:f>
              <c:numCache>
                <c:formatCode>General</c:formatCode>
                <c:ptCount val="23"/>
                <c:pt idx="0">
                  <c:v>533.5</c:v>
                </c:pt>
                <c:pt idx="1">
                  <c:v>522</c:v>
                </c:pt>
                <c:pt idx="2">
                  <c:v>332.5</c:v>
                </c:pt>
                <c:pt idx="3">
                  <c:v>402</c:v>
                </c:pt>
                <c:pt idx="4">
                  <c:v>190</c:v>
                </c:pt>
                <c:pt idx="5">
                  <c:v>274</c:v>
                </c:pt>
                <c:pt idx="8">
                  <c:v>497</c:v>
                </c:pt>
                <c:pt idx="9">
                  <c:v>316</c:v>
                </c:pt>
                <c:pt idx="10">
                  <c:v>377</c:v>
                </c:pt>
                <c:pt idx="11">
                  <c:v>440.33333333333331</c:v>
                </c:pt>
                <c:pt idx="22">
                  <c:v>450</c:v>
                </c:pt>
              </c:numCache>
            </c:numRef>
          </c:yVal>
          <c:smooth val="0"/>
          <c:extLst>
            <c:ext xmlns:c16="http://schemas.microsoft.com/office/drawing/2014/chart" uri="{C3380CC4-5D6E-409C-BE32-E72D297353CC}">
              <c16:uniqueId val="{00000000-B9FD-7146-A041-E57988FFB825}"/>
            </c:ext>
          </c:extLst>
        </c:ser>
        <c:ser>
          <c:idx val="1"/>
          <c:order val="1"/>
          <c:tx>
            <c:v>Pinus</c:v>
          </c:tx>
          <c:spPr>
            <a:ln w="25400" cap="rnd">
              <a:noFill/>
              <a:round/>
            </a:ln>
            <a:effectLst/>
          </c:spPr>
          <c:marker>
            <c:symbol val="triangle"/>
            <c:size val="7"/>
            <c:spPr>
              <a:solidFill>
                <a:schemeClr val="bg1"/>
              </a:solidFill>
              <a:ln w="9525">
                <a:solidFill>
                  <a:schemeClr val="tx1"/>
                </a:solidFill>
              </a:ln>
              <a:effectLst/>
            </c:spPr>
          </c:marker>
          <c:trendline>
            <c:spPr>
              <a:ln w="19050" cap="rnd">
                <a:solidFill>
                  <a:schemeClr val="tx1"/>
                </a:solidFill>
                <a:prstDash val="dash"/>
              </a:ln>
              <a:effectLst/>
            </c:spPr>
            <c:trendlineType val="linear"/>
            <c:intercept val="0"/>
            <c:dispRSqr val="1"/>
            <c:dispEq val="1"/>
            <c:trendlineLbl>
              <c:layout>
                <c:manualLayout>
                  <c:x val="-0.14765135608048993"/>
                  <c:y val="5.053222513852435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'VEE vs CWI'!$Y$32:$Y$55</c:f>
              <c:numCache>
                <c:formatCode>General</c:formatCode>
                <c:ptCount val="24"/>
                <c:pt idx="0">
                  <c:v>648</c:v>
                </c:pt>
                <c:pt idx="1">
                  <c:v>795</c:v>
                </c:pt>
                <c:pt idx="2">
                  <c:v>635</c:v>
                </c:pt>
                <c:pt idx="3">
                  <c:v>540</c:v>
                </c:pt>
                <c:pt idx="4">
                  <c:v>1155.2884615384614</c:v>
                </c:pt>
                <c:pt idx="5">
                  <c:v>682</c:v>
                </c:pt>
                <c:pt idx="6">
                  <c:v>354.94634920634928</c:v>
                </c:pt>
                <c:pt idx="7">
                  <c:v>487.33500000000009</c:v>
                </c:pt>
                <c:pt idx="8">
                  <c:v>716</c:v>
                </c:pt>
                <c:pt idx="9">
                  <c:v>982.53846153846155</c:v>
                </c:pt>
                <c:pt idx="10">
                  <c:v>1087</c:v>
                </c:pt>
                <c:pt idx="11">
                  <c:v>988</c:v>
                </c:pt>
                <c:pt idx="12">
                  <c:v>1123</c:v>
                </c:pt>
                <c:pt idx="13">
                  <c:v>754</c:v>
                </c:pt>
                <c:pt idx="14">
                  <c:v>979</c:v>
                </c:pt>
                <c:pt idx="15">
                  <c:v>1129.3333333333333</c:v>
                </c:pt>
                <c:pt idx="16">
                  <c:v>951</c:v>
                </c:pt>
                <c:pt idx="17">
                  <c:v>859</c:v>
                </c:pt>
                <c:pt idx="18">
                  <c:v>989</c:v>
                </c:pt>
                <c:pt idx="19">
                  <c:v>972</c:v>
                </c:pt>
                <c:pt idx="20">
                  <c:v>862.80624999999998</c:v>
                </c:pt>
                <c:pt idx="21">
                  <c:v>662.46249999999998</c:v>
                </c:pt>
                <c:pt idx="22">
                  <c:v>1291</c:v>
                </c:pt>
                <c:pt idx="23">
                  <c:v>1030</c:v>
                </c:pt>
              </c:numCache>
            </c:numRef>
          </c:xVal>
          <c:yVal>
            <c:numRef>
              <c:f>'VEE vs CWI'!$Z$32:$Z$55</c:f>
              <c:numCache>
                <c:formatCode>General</c:formatCode>
                <c:ptCount val="24"/>
                <c:pt idx="0">
                  <c:v>395</c:v>
                </c:pt>
                <c:pt idx="1">
                  <c:v>410</c:v>
                </c:pt>
                <c:pt idx="2">
                  <c:v>380</c:v>
                </c:pt>
                <c:pt idx="3">
                  <c:v>270</c:v>
                </c:pt>
                <c:pt idx="22">
                  <c:v>706</c:v>
                </c:pt>
              </c:numCache>
            </c:numRef>
          </c:yVal>
          <c:smooth val="0"/>
          <c:extLst>
            <c:ext xmlns:c16="http://schemas.microsoft.com/office/drawing/2014/chart" uri="{C3380CC4-5D6E-409C-BE32-E72D297353CC}">
              <c16:uniqueId val="{00000001-688E-9A45-B42B-F9F50A0BD020}"/>
            </c:ext>
          </c:extLst>
        </c:ser>
        <c:dLbls>
          <c:showLegendKey val="0"/>
          <c:showVal val="0"/>
          <c:showCatName val="0"/>
          <c:showSerName val="0"/>
          <c:showPercent val="0"/>
          <c:showBubbleSize val="0"/>
        </c:dLbls>
        <c:axId val="77785872"/>
        <c:axId val="78502192"/>
      </c:scatterChart>
      <c:valAx>
        <c:axId val="77785872"/>
        <c:scaling>
          <c:orientation val="minMax"/>
          <c:max val="1400"/>
          <c:min val="200"/>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Annual evapotranspiration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78502192"/>
        <c:crosses val="autoZero"/>
        <c:crossBetween val="midCat"/>
      </c:valAx>
      <c:valAx>
        <c:axId val="7850219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Annual transpiration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7778587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Pinus</c:v>
          </c:tx>
          <c:spPr>
            <a:ln w="25400"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linear"/>
            <c:intercept val="0"/>
            <c:dispRSqr val="1"/>
            <c:dispEq val="1"/>
            <c:trendlineLbl>
              <c:layout>
                <c:manualLayout>
                  <c:x val="-7.361469204723059E-2"/>
                  <c:y val="0.29646057900008582"/>
                </c:manualLayout>
              </c:layout>
              <c:tx>
                <c:rich>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r>
                      <a:rPr lang="en-US" baseline="0"/>
                      <a:t>y = 0.51x</a:t>
                    </a:r>
                    <a:br>
                      <a:rPr lang="en-US" baseline="0"/>
                    </a:br>
                    <a:r>
                      <a:rPr lang="en-US" baseline="0"/>
                      <a:t>R² = 0.85</a:t>
                    </a:r>
                    <a:endParaRPr lang="en-US"/>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trendlineLbl>
          </c:trendline>
          <c:xVal>
            <c:numRef>
              <c:f>'ET and VEE vs P'!$Y$10:$Y$59</c:f>
              <c:numCache>
                <c:formatCode>General</c:formatCode>
                <c:ptCount val="50"/>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pt idx="23">
                  <c:v>1050</c:v>
                </c:pt>
                <c:pt idx="24">
                  <c:v>940</c:v>
                </c:pt>
                <c:pt idx="25">
                  <c:v>956</c:v>
                </c:pt>
                <c:pt idx="26">
                  <c:v>1084</c:v>
                </c:pt>
                <c:pt idx="27">
                  <c:v>648</c:v>
                </c:pt>
                <c:pt idx="28">
                  <c:v>795</c:v>
                </c:pt>
                <c:pt idx="29">
                  <c:v>635</c:v>
                </c:pt>
                <c:pt idx="30">
                  <c:v>540</c:v>
                </c:pt>
                <c:pt idx="31">
                  <c:v>1155.2884615384614</c:v>
                </c:pt>
                <c:pt idx="32">
                  <c:v>682</c:v>
                </c:pt>
                <c:pt idx="33">
                  <c:v>354.94634920634928</c:v>
                </c:pt>
                <c:pt idx="34">
                  <c:v>487.33500000000009</c:v>
                </c:pt>
                <c:pt idx="35">
                  <c:v>716</c:v>
                </c:pt>
                <c:pt idx="36">
                  <c:v>982.53846153846155</c:v>
                </c:pt>
                <c:pt idx="37">
                  <c:v>1087</c:v>
                </c:pt>
                <c:pt idx="38">
                  <c:v>988</c:v>
                </c:pt>
                <c:pt idx="39">
                  <c:v>1123</c:v>
                </c:pt>
                <c:pt idx="40">
                  <c:v>754</c:v>
                </c:pt>
                <c:pt idx="41">
                  <c:v>979</c:v>
                </c:pt>
                <c:pt idx="42">
                  <c:v>1129.3333333333333</c:v>
                </c:pt>
                <c:pt idx="43">
                  <c:v>951</c:v>
                </c:pt>
                <c:pt idx="44">
                  <c:v>859</c:v>
                </c:pt>
                <c:pt idx="45">
                  <c:v>989</c:v>
                </c:pt>
                <c:pt idx="46">
                  <c:v>972</c:v>
                </c:pt>
                <c:pt idx="47">
                  <c:v>862.80624999999998</c:v>
                </c:pt>
                <c:pt idx="48">
                  <c:v>662.46249999999998</c:v>
                </c:pt>
                <c:pt idx="49">
                  <c:v>1291</c:v>
                </c:pt>
              </c:numCache>
            </c:numRef>
          </c:xVal>
          <c:yVal>
            <c:numRef>
              <c:f>'ET and VEE vs P'!$Z$10:$Z$59</c:f>
              <c:numCache>
                <c:formatCode>General</c:formatCode>
                <c:ptCount val="50"/>
                <c:pt idx="0">
                  <c:v>533.5</c:v>
                </c:pt>
                <c:pt idx="1">
                  <c:v>522</c:v>
                </c:pt>
                <c:pt idx="2">
                  <c:v>332.5</c:v>
                </c:pt>
                <c:pt idx="3">
                  <c:v>402</c:v>
                </c:pt>
                <c:pt idx="4">
                  <c:v>190</c:v>
                </c:pt>
                <c:pt idx="5">
                  <c:v>274</c:v>
                </c:pt>
                <c:pt idx="8">
                  <c:v>497</c:v>
                </c:pt>
                <c:pt idx="9">
                  <c:v>316</c:v>
                </c:pt>
                <c:pt idx="10">
                  <c:v>377</c:v>
                </c:pt>
                <c:pt idx="11">
                  <c:v>440.33333333333331</c:v>
                </c:pt>
                <c:pt idx="22">
                  <c:v>450</c:v>
                </c:pt>
                <c:pt idx="27">
                  <c:v>395</c:v>
                </c:pt>
                <c:pt idx="28">
                  <c:v>410</c:v>
                </c:pt>
                <c:pt idx="29">
                  <c:v>380</c:v>
                </c:pt>
                <c:pt idx="30">
                  <c:v>270</c:v>
                </c:pt>
                <c:pt idx="49">
                  <c:v>706</c:v>
                </c:pt>
              </c:numCache>
            </c:numRef>
          </c:yVal>
          <c:smooth val="0"/>
          <c:extLst>
            <c:ext xmlns:c16="http://schemas.microsoft.com/office/drawing/2014/chart" uri="{C3380CC4-5D6E-409C-BE32-E72D297353CC}">
              <c16:uniqueId val="{00000001-B5FC-44A7-B2E5-8269AB1345BE}"/>
            </c:ext>
          </c:extLst>
        </c:ser>
        <c:ser>
          <c:idx val="1"/>
          <c:order val="1"/>
          <c:spPr>
            <a:ln w="25400" cap="rnd">
              <a:noFill/>
              <a:round/>
            </a:ln>
            <a:effectLst/>
          </c:spPr>
          <c:marker>
            <c:symbol val="circle"/>
            <c:size val="5"/>
            <c:spPr>
              <a:solidFill>
                <a:schemeClr val="bg1"/>
              </a:solidFill>
              <a:ln w="9525">
                <a:solidFill>
                  <a:schemeClr val="tx1"/>
                </a:solidFill>
              </a:ln>
              <a:effectLst/>
            </c:spPr>
          </c:marker>
          <c:xVal>
            <c:numRef>
              <c:f>'ET and VEE vs P'!$Y$10:$Y$36</c:f>
              <c:numCache>
                <c:formatCode>General</c:formatCode>
                <c:ptCount val="27"/>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pt idx="23">
                  <c:v>1050</c:v>
                </c:pt>
                <c:pt idx="24">
                  <c:v>940</c:v>
                </c:pt>
                <c:pt idx="25">
                  <c:v>956</c:v>
                </c:pt>
                <c:pt idx="26">
                  <c:v>1084</c:v>
                </c:pt>
              </c:numCache>
            </c:numRef>
          </c:xVal>
          <c:yVal>
            <c:numRef>
              <c:f>'ET and VEE vs P'!$Z$10:$Z$36</c:f>
              <c:numCache>
                <c:formatCode>General</c:formatCode>
                <c:ptCount val="27"/>
                <c:pt idx="0">
                  <c:v>533.5</c:v>
                </c:pt>
                <c:pt idx="1">
                  <c:v>522</c:v>
                </c:pt>
                <c:pt idx="2">
                  <c:v>332.5</c:v>
                </c:pt>
                <c:pt idx="3">
                  <c:v>402</c:v>
                </c:pt>
                <c:pt idx="4">
                  <c:v>190</c:v>
                </c:pt>
                <c:pt idx="5">
                  <c:v>274</c:v>
                </c:pt>
                <c:pt idx="8">
                  <c:v>497</c:v>
                </c:pt>
                <c:pt idx="9">
                  <c:v>316</c:v>
                </c:pt>
                <c:pt idx="10">
                  <c:v>377</c:v>
                </c:pt>
                <c:pt idx="11">
                  <c:v>440.33333333333331</c:v>
                </c:pt>
                <c:pt idx="22">
                  <c:v>450</c:v>
                </c:pt>
              </c:numCache>
            </c:numRef>
          </c:yVal>
          <c:smooth val="0"/>
          <c:extLst>
            <c:ext xmlns:c16="http://schemas.microsoft.com/office/drawing/2014/chart" uri="{C3380CC4-5D6E-409C-BE32-E72D297353CC}">
              <c16:uniqueId val="{00000002-B5FC-44A7-B2E5-8269AB1345BE}"/>
            </c:ext>
          </c:extLst>
        </c:ser>
        <c:dLbls>
          <c:showLegendKey val="0"/>
          <c:showVal val="0"/>
          <c:showCatName val="0"/>
          <c:showSerName val="0"/>
          <c:showPercent val="0"/>
          <c:showBubbleSize val="0"/>
        </c:dLbls>
        <c:axId val="1104981040"/>
        <c:axId val="1105074528"/>
      </c:scatterChart>
      <c:valAx>
        <c:axId val="11049810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j-lt"/>
                    <a:ea typeface="+mn-ea"/>
                    <a:cs typeface="+mn-cs"/>
                  </a:defRPr>
                </a:pPr>
                <a:r>
                  <a:rPr lang="en-GB"/>
                  <a:t>Annual Evapotranspiration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j-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crossAx val="1105074528"/>
        <c:crosses val="autoZero"/>
        <c:crossBetween val="midCat"/>
      </c:valAx>
      <c:valAx>
        <c:axId val="110507452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j-lt"/>
                    <a:ea typeface="+mn-ea"/>
                    <a:cs typeface="+mn-cs"/>
                  </a:defRPr>
                </a:pPr>
                <a:r>
                  <a:rPr lang="en-GB"/>
                  <a:t>Annual Transpiration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j-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crossAx val="1104981040"/>
        <c:crosses val="autoZero"/>
        <c:crossBetween val="midCat"/>
      </c:valAx>
      <c:spPr>
        <a:noFill/>
        <a:ln>
          <a:noFill/>
        </a:ln>
        <a:effectLst/>
      </c:spPr>
    </c:plotArea>
    <c:legend>
      <c:legendPos val="r"/>
      <c:legendEntry>
        <c:idx val="2"/>
        <c:delete val="1"/>
      </c:legendEntry>
      <c:layout>
        <c:manualLayout>
          <c:xMode val="edge"/>
          <c:yMode val="edge"/>
          <c:x val="0.58127851077509218"/>
          <c:y val="0.49187024256904971"/>
          <c:w val="0.22890636334009651"/>
          <c:h val="0.17952253308761937"/>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solidFill>
      <a:round/>
    </a:ln>
    <a:effectLst/>
  </c:spPr>
  <c:txPr>
    <a:bodyPr/>
    <a:lstStyle/>
    <a:p>
      <a:pPr>
        <a:defRPr baseline="0">
          <a:solidFill>
            <a:schemeClr val="tx1"/>
          </a:solidFill>
          <a:latin typeface="+mj-lt"/>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tx1"/>
              </a:solidFill>
              <a:round/>
            </a:ln>
            <a:effectLst/>
          </c:spPr>
          <c:marker>
            <c:symbol val="none"/>
          </c:marker>
          <c:xVal>
            <c:numRef>
              <c:f>'ET and VEE vs P'!$R$68:$R$89</c:f>
              <c:numCache>
                <c:formatCode>General</c:formatCode>
                <c:ptCount val="22"/>
                <c:pt idx="0">
                  <c:v>0.01</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2.5</c:v>
                </c:pt>
              </c:numCache>
            </c:numRef>
          </c:xVal>
          <c:yVal>
            <c:numRef>
              <c:f>'ET and VEE vs P'!$X$68:$X$89</c:f>
              <c:numCache>
                <c:formatCode>General</c:formatCode>
                <c:ptCount val="22"/>
                <c:pt idx="0">
                  <c:v>1.0001279666076377</c:v>
                </c:pt>
                <c:pt idx="1">
                  <c:v>1.0036898659397671</c:v>
                </c:pt>
                <c:pt idx="2">
                  <c:v>1.0091917803240509</c:v>
                </c:pt>
                <c:pt idx="3">
                  <c:v>1.0149589082005235</c:v>
                </c:pt>
                <c:pt idx="4">
                  <c:v>1.0203831659010651</c:v>
                </c:pt>
                <c:pt idx="5">
                  <c:v>1.0250932166939248</c:v>
                </c:pt>
                <c:pt idx="6">
                  <c:v>1.0288754328117775</c:v>
                </c:pt>
                <c:pt idx="7">
                  <c:v>1.0316553226266629</c:v>
                </c:pt>
                <c:pt idx="8">
                  <c:v>1.0334735374292741</c:v>
                </c:pt>
                <c:pt idx="9">
                  <c:v>1.0344487681611436</c:v>
                </c:pt>
                <c:pt idx="10">
                  <c:v>1.0347374353003969</c:v>
                </c:pt>
                <c:pt idx="11">
                  <c:v>1.03450091154129</c:v>
                </c:pt>
                <c:pt idx="12">
                  <c:v>1.0338849681366327</c:v>
                </c:pt>
                <c:pt idx="13">
                  <c:v>1.0330104747029467</c:v>
                </c:pt>
                <c:pt idx="14">
                  <c:v>1.0319718296720157</c:v>
                </c:pt>
                <c:pt idx="15">
                  <c:v>1.0308395549023717</c:v>
                </c:pt>
                <c:pt idx="16">
                  <c:v>1.029664503490739</c:v>
                </c:pt>
                <c:pt idx="17">
                  <c:v>1.0284822188910421</c:v>
                </c:pt>
                <c:pt idx="18">
                  <c:v>1.0273167718581173</c:v>
                </c:pt>
                <c:pt idx="19">
                  <c:v>1.0261838642179901</c:v>
                </c:pt>
                <c:pt idx="20">
                  <c:v>1.0250932166939244</c:v>
                </c:pt>
                <c:pt idx="21">
                  <c:v>1.0203831659010654</c:v>
                </c:pt>
              </c:numCache>
            </c:numRef>
          </c:yVal>
          <c:smooth val="0"/>
          <c:extLst>
            <c:ext xmlns:c16="http://schemas.microsoft.com/office/drawing/2014/chart" uri="{C3380CC4-5D6E-409C-BE32-E72D297353CC}">
              <c16:uniqueId val="{00000000-6294-467A-926F-F60F91C157A0}"/>
            </c:ext>
          </c:extLst>
        </c:ser>
        <c:dLbls>
          <c:showLegendKey val="0"/>
          <c:showVal val="0"/>
          <c:showCatName val="0"/>
          <c:showSerName val="0"/>
          <c:showPercent val="0"/>
          <c:showBubbleSize val="0"/>
        </c:dLbls>
        <c:axId val="344730928"/>
        <c:axId val="344732560"/>
      </c:scatterChart>
      <c:valAx>
        <c:axId val="34473092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Climate Wetness Index (P/PET)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44732560"/>
        <c:crosses val="autoZero"/>
        <c:crossBetween val="midCat"/>
      </c:valAx>
      <c:valAx>
        <c:axId val="34473256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k (Eucalypt)/k(Pine)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447309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solid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92825896762906"/>
          <c:y val="5.0925925925925923E-2"/>
          <c:w val="0.83218285214348209"/>
          <c:h val="0.79442913385826774"/>
        </c:manualLayout>
      </c:layout>
      <c:scatterChart>
        <c:scatterStyle val="lineMarker"/>
        <c:varyColors val="0"/>
        <c:ser>
          <c:idx val="0"/>
          <c:order val="0"/>
          <c:tx>
            <c:strRef>
              <c:f>'ET and VEE vs P'!$Y$9</c:f>
              <c:strCache>
                <c:ptCount val="1"/>
                <c:pt idx="0">
                  <c:v>ET</c:v>
                </c:pt>
              </c:strCache>
            </c:strRef>
          </c:tx>
          <c:spPr>
            <a:ln w="25400" cap="rnd">
              <a:noFill/>
              <a:round/>
            </a:ln>
            <a:effectLst/>
          </c:spPr>
          <c:marker>
            <c:symbol val="circle"/>
            <c:size val="6"/>
            <c:spPr>
              <a:solidFill>
                <a:schemeClr val="bg1"/>
              </a:solidFill>
              <a:ln w="9525">
                <a:solidFill>
                  <a:schemeClr val="tx1"/>
                </a:solidFill>
              </a:ln>
              <a:effectLst/>
            </c:spPr>
          </c:marker>
          <c:xVal>
            <c:numRef>
              <c:f>'ET and VEE vs P'!$P$10:$P$36</c:f>
              <c:numCache>
                <c:formatCode>0.0</c:formatCode>
                <c:ptCount val="27"/>
                <c:pt idx="0">
                  <c:v>2188.7000000000003</c:v>
                </c:pt>
                <c:pt idx="1">
                  <c:v>1892.5666666666668</c:v>
                </c:pt>
                <c:pt idx="2">
                  <c:v>1494.9500000000003</c:v>
                </c:pt>
                <c:pt idx="3">
                  <c:v>724.67500000000007</c:v>
                </c:pt>
                <c:pt idx="4">
                  <c:v>773.40000000000009</c:v>
                </c:pt>
                <c:pt idx="5">
                  <c:v>753.63333333333333</c:v>
                </c:pt>
                <c:pt idx="6">
                  <c:v>884.23636363636365</c:v>
                </c:pt>
                <c:pt idx="7">
                  <c:v>729.65000000000009</c:v>
                </c:pt>
                <c:pt idx="8">
                  <c:v>1330.2</c:v>
                </c:pt>
                <c:pt idx="9">
                  <c:v>1640.7</c:v>
                </c:pt>
                <c:pt idx="10">
                  <c:v>1341.8666666666668</c:v>
                </c:pt>
                <c:pt idx="11">
                  <c:v>1222.3</c:v>
                </c:pt>
                <c:pt idx="12">
                  <c:v>970.56666666666661</c:v>
                </c:pt>
                <c:pt idx="13">
                  <c:v>1355.85</c:v>
                </c:pt>
                <c:pt idx="14">
                  <c:v>1476.6076923076923</c:v>
                </c:pt>
                <c:pt idx="15">
                  <c:v>1433.2769230769229</c:v>
                </c:pt>
                <c:pt idx="16">
                  <c:v>863.38000000000011</c:v>
                </c:pt>
                <c:pt idx="17">
                  <c:v>863.38000000000011</c:v>
                </c:pt>
                <c:pt idx="18">
                  <c:v>1328</c:v>
                </c:pt>
                <c:pt idx="19">
                  <c:v>777.61848739495781</c:v>
                </c:pt>
                <c:pt idx="20">
                  <c:v>777.61848739495781</c:v>
                </c:pt>
                <c:pt idx="21">
                  <c:v>1664</c:v>
                </c:pt>
                <c:pt idx="22">
                  <c:v>1673</c:v>
                </c:pt>
                <c:pt idx="23">
                  <c:v>1845</c:v>
                </c:pt>
                <c:pt idx="24">
                  <c:v>1845</c:v>
                </c:pt>
                <c:pt idx="25">
                  <c:v>1283</c:v>
                </c:pt>
                <c:pt idx="26">
                  <c:v>1260</c:v>
                </c:pt>
              </c:numCache>
            </c:numRef>
          </c:xVal>
          <c:yVal>
            <c:numRef>
              <c:f>'ET and VEE vs P'!$Y$10:$Y$36</c:f>
              <c:numCache>
                <c:formatCode>General</c:formatCode>
                <c:ptCount val="27"/>
                <c:pt idx="0">
                  <c:v>1134</c:v>
                </c:pt>
                <c:pt idx="1">
                  <c:v>996</c:v>
                </c:pt>
                <c:pt idx="2">
                  <c:v>859</c:v>
                </c:pt>
                <c:pt idx="3">
                  <c:v>713</c:v>
                </c:pt>
                <c:pt idx="4">
                  <c:v>488</c:v>
                </c:pt>
                <c:pt idx="5">
                  <c:v>604</c:v>
                </c:pt>
                <c:pt idx="6">
                  <c:v>1156.0736363636361</c:v>
                </c:pt>
                <c:pt idx="7">
                  <c:v>545</c:v>
                </c:pt>
                <c:pt idx="8">
                  <c:v>979.33333333333337</c:v>
                </c:pt>
                <c:pt idx="9">
                  <c:v>750</c:v>
                </c:pt>
                <c:pt idx="10">
                  <c:v>757</c:v>
                </c:pt>
                <c:pt idx="11">
                  <c:v>802.66666666666663</c:v>
                </c:pt>
                <c:pt idx="12">
                  <c:v>921.8</c:v>
                </c:pt>
                <c:pt idx="13">
                  <c:v>1345</c:v>
                </c:pt>
                <c:pt idx="14">
                  <c:v>1297.5999999999999</c:v>
                </c:pt>
                <c:pt idx="15">
                  <c:v>1169.8571428571429</c:v>
                </c:pt>
                <c:pt idx="16">
                  <c:v>980</c:v>
                </c:pt>
                <c:pt idx="17">
                  <c:v>980</c:v>
                </c:pt>
                <c:pt idx="18">
                  <c:v>918</c:v>
                </c:pt>
                <c:pt idx="19">
                  <c:v>756</c:v>
                </c:pt>
                <c:pt idx="20">
                  <c:v>765</c:v>
                </c:pt>
                <c:pt idx="21">
                  <c:v>1106</c:v>
                </c:pt>
                <c:pt idx="22">
                  <c:v>745</c:v>
                </c:pt>
                <c:pt idx="23">
                  <c:v>1050</c:v>
                </c:pt>
                <c:pt idx="24">
                  <c:v>940</c:v>
                </c:pt>
                <c:pt idx="25">
                  <c:v>956</c:v>
                </c:pt>
                <c:pt idx="26">
                  <c:v>1084</c:v>
                </c:pt>
              </c:numCache>
            </c:numRef>
          </c:yVal>
          <c:smooth val="0"/>
          <c:extLst>
            <c:ext xmlns:c16="http://schemas.microsoft.com/office/drawing/2014/chart" uri="{C3380CC4-5D6E-409C-BE32-E72D297353CC}">
              <c16:uniqueId val="{00000000-040F-497C-B17E-A61D14C21D3B}"/>
            </c:ext>
          </c:extLst>
        </c:ser>
        <c:ser>
          <c:idx val="1"/>
          <c:order val="1"/>
          <c:spPr>
            <a:ln w="25400" cap="rnd">
              <a:noFill/>
              <a:round/>
            </a:ln>
            <a:effectLst/>
          </c:spPr>
          <c:marker>
            <c:symbol val="triangle"/>
            <c:size val="6"/>
            <c:spPr>
              <a:solidFill>
                <a:schemeClr val="bg1"/>
              </a:solidFill>
              <a:ln w="9525">
                <a:solidFill>
                  <a:schemeClr val="tx1"/>
                </a:solidFill>
              </a:ln>
              <a:effectLst/>
            </c:spPr>
          </c:marker>
          <c:xVal>
            <c:numRef>
              <c:f>'ET and VEE vs P'!$P$37:$P$66</c:f>
              <c:numCache>
                <c:formatCode>0.0</c:formatCode>
                <c:ptCount val="30"/>
                <c:pt idx="0">
                  <c:v>716.88</c:v>
                </c:pt>
                <c:pt idx="1">
                  <c:v>788.22</c:v>
                </c:pt>
                <c:pt idx="2">
                  <c:v>788.22</c:v>
                </c:pt>
                <c:pt idx="3">
                  <c:v>754.22</c:v>
                </c:pt>
                <c:pt idx="4">
                  <c:v>963.13529411764716</c:v>
                </c:pt>
                <c:pt idx="5">
                  <c:v>1181.2</c:v>
                </c:pt>
                <c:pt idx="6">
                  <c:v>611.9545454545455</c:v>
                </c:pt>
                <c:pt idx="7">
                  <c:v>805.72727272727275</c:v>
                </c:pt>
                <c:pt idx="8">
                  <c:v>1094.9333333333334</c:v>
                </c:pt>
                <c:pt idx="9">
                  <c:v>1272.952380952381</c:v>
                </c:pt>
                <c:pt idx="10">
                  <c:v>1362.65</c:v>
                </c:pt>
                <c:pt idx="11">
                  <c:v>1134.175</c:v>
                </c:pt>
                <c:pt idx="12">
                  <c:v>1092.2249999999999</c:v>
                </c:pt>
                <c:pt idx="13">
                  <c:v>1117.8499999999999</c:v>
                </c:pt>
                <c:pt idx="14">
                  <c:v>1278.7</c:v>
                </c:pt>
                <c:pt idx="15">
                  <c:v>1123.9636363636364</c:v>
                </c:pt>
                <c:pt idx="16">
                  <c:v>946.22500000000025</c:v>
                </c:pt>
                <c:pt idx="17">
                  <c:v>1425.6000000000001</c:v>
                </c:pt>
                <c:pt idx="18">
                  <c:v>1425.6000000000001</c:v>
                </c:pt>
                <c:pt idx="19">
                  <c:v>1309.2000000000003</c:v>
                </c:pt>
                <c:pt idx="20">
                  <c:v>1400.25</c:v>
                </c:pt>
                <c:pt idx="21">
                  <c:v>737.84374999999989</c:v>
                </c:pt>
                <c:pt idx="22">
                  <c:v>1601.75</c:v>
                </c:pt>
                <c:pt idx="23">
                  <c:v>1512</c:v>
                </c:pt>
                <c:pt idx="24">
                  <c:v>1673</c:v>
                </c:pt>
                <c:pt idx="25">
                  <c:v>661</c:v>
                </c:pt>
                <c:pt idx="26">
                  <c:v>1960</c:v>
                </c:pt>
                <c:pt idx="27">
                  <c:v>1960</c:v>
                </c:pt>
                <c:pt idx="28">
                  <c:v>1272</c:v>
                </c:pt>
                <c:pt idx="29">
                  <c:v>1290</c:v>
                </c:pt>
              </c:numCache>
            </c:numRef>
          </c:xVal>
          <c:yVal>
            <c:numRef>
              <c:f>'ET and VEE vs P'!$Y$37:$Y$66</c:f>
              <c:numCache>
                <c:formatCode>General</c:formatCode>
                <c:ptCount val="30"/>
                <c:pt idx="0">
                  <c:v>648</c:v>
                </c:pt>
                <c:pt idx="1">
                  <c:v>795</c:v>
                </c:pt>
                <c:pt idx="2">
                  <c:v>635</c:v>
                </c:pt>
                <c:pt idx="3">
                  <c:v>540</c:v>
                </c:pt>
                <c:pt idx="4">
                  <c:v>1155.2884615384614</c:v>
                </c:pt>
                <c:pt idx="5">
                  <c:v>682</c:v>
                </c:pt>
                <c:pt idx="6">
                  <c:v>354.94634920634928</c:v>
                </c:pt>
                <c:pt idx="7">
                  <c:v>487.33500000000009</c:v>
                </c:pt>
                <c:pt idx="8">
                  <c:v>716</c:v>
                </c:pt>
                <c:pt idx="9">
                  <c:v>982.53846153846155</c:v>
                </c:pt>
                <c:pt idx="10">
                  <c:v>1087</c:v>
                </c:pt>
                <c:pt idx="11">
                  <c:v>988</c:v>
                </c:pt>
                <c:pt idx="12">
                  <c:v>1123</c:v>
                </c:pt>
                <c:pt idx="13">
                  <c:v>754</c:v>
                </c:pt>
                <c:pt idx="14">
                  <c:v>979</c:v>
                </c:pt>
                <c:pt idx="15">
                  <c:v>1129.3333333333333</c:v>
                </c:pt>
                <c:pt idx="16">
                  <c:v>951</c:v>
                </c:pt>
                <c:pt idx="17">
                  <c:v>859</c:v>
                </c:pt>
                <c:pt idx="18">
                  <c:v>989</c:v>
                </c:pt>
                <c:pt idx="19">
                  <c:v>972</c:v>
                </c:pt>
                <c:pt idx="20">
                  <c:v>862.80624999999998</c:v>
                </c:pt>
                <c:pt idx="21">
                  <c:v>662.46249999999998</c:v>
                </c:pt>
                <c:pt idx="22">
                  <c:v>1291</c:v>
                </c:pt>
                <c:pt idx="23">
                  <c:v>1030</c:v>
                </c:pt>
                <c:pt idx="24">
                  <c:v>731</c:v>
                </c:pt>
                <c:pt idx="25">
                  <c:v>569</c:v>
                </c:pt>
                <c:pt idx="26">
                  <c:v>999</c:v>
                </c:pt>
                <c:pt idx="27">
                  <c:v>902</c:v>
                </c:pt>
                <c:pt idx="28">
                  <c:v>1035</c:v>
                </c:pt>
                <c:pt idx="29">
                  <c:v>1049</c:v>
                </c:pt>
              </c:numCache>
            </c:numRef>
          </c:yVal>
          <c:smooth val="0"/>
          <c:extLst>
            <c:ext xmlns:c16="http://schemas.microsoft.com/office/drawing/2014/chart" uri="{C3380CC4-5D6E-409C-BE32-E72D297353CC}">
              <c16:uniqueId val="{00000001-040F-497C-B17E-A61D14C21D3B}"/>
            </c:ext>
          </c:extLst>
        </c:ser>
        <c:ser>
          <c:idx val="2"/>
          <c:order val="2"/>
          <c:spPr>
            <a:ln w="25400" cap="rnd">
              <a:solidFill>
                <a:schemeClr val="tx1"/>
              </a:solidFill>
              <a:round/>
            </a:ln>
            <a:effectLst/>
          </c:spPr>
          <c:marker>
            <c:symbol val="none"/>
          </c:marker>
          <c:xVal>
            <c:numRef>
              <c:f>'ET and VEE vs P'!$AG$73:$AG$95</c:f>
              <c:numCache>
                <c:formatCode>General</c:formatCode>
                <c:ptCount val="23"/>
                <c:pt idx="0">
                  <c:v>600</c:v>
                </c:pt>
                <c:pt idx="1">
                  <c:v>650</c:v>
                </c:pt>
                <c:pt idx="2">
                  <c:v>700</c:v>
                </c:pt>
                <c:pt idx="3">
                  <c:v>750</c:v>
                </c:pt>
                <c:pt idx="4">
                  <c:v>800</c:v>
                </c:pt>
                <c:pt idx="5">
                  <c:v>850</c:v>
                </c:pt>
                <c:pt idx="6">
                  <c:v>900</c:v>
                </c:pt>
                <c:pt idx="7">
                  <c:v>950</c:v>
                </c:pt>
                <c:pt idx="8">
                  <c:v>1000</c:v>
                </c:pt>
                <c:pt idx="9">
                  <c:v>1050</c:v>
                </c:pt>
                <c:pt idx="10">
                  <c:v>1100</c:v>
                </c:pt>
                <c:pt idx="11">
                  <c:v>1150</c:v>
                </c:pt>
                <c:pt idx="12">
                  <c:v>1200</c:v>
                </c:pt>
                <c:pt idx="13">
                  <c:v>1250</c:v>
                </c:pt>
                <c:pt idx="14">
                  <c:v>1300</c:v>
                </c:pt>
                <c:pt idx="15">
                  <c:v>1350</c:v>
                </c:pt>
                <c:pt idx="16">
                  <c:v>1400</c:v>
                </c:pt>
                <c:pt idx="17">
                  <c:v>1600</c:v>
                </c:pt>
                <c:pt idx="18">
                  <c:v>1800</c:v>
                </c:pt>
                <c:pt idx="19">
                  <c:v>2000</c:v>
                </c:pt>
                <c:pt idx="20">
                  <c:v>2200</c:v>
                </c:pt>
              </c:numCache>
            </c:numRef>
          </c:xVal>
          <c:yVal>
            <c:numRef>
              <c:f>'ET and VEE vs P'!$AH$73:$AH$95</c:f>
              <c:numCache>
                <c:formatCode>General</c:formatCode>
                <c:ptCount val="23"/>
                <c:pt idx="0">
                  <c:v>90.94067155235598</c:v>
                </c:pt>
                <c:pt idx="1">
                  <c:v>384.79927165210904</c:v>
                </c:pt>
                <c:pt idx="2">
                  <c:v>581.36535948271694</c:v>
                </c:pt>
                <c:pt idx="3">
                  <c:v>712.85113826174256</c:v>
                </c:pt>
                <c:pt idx="4">
                  <c:v>800.80379689137021</c:v>
                </c:pt>
                <c:pt idx="5">
                  <c:v>859.63654847753492</c:v>
                </c:pt>
                <c:pt idx="6">
                  <c:v>898.9905909036429</c:v>
                </c:pt>
                <c:pt idx="7">
                  <c:v>925.31505497375633</c:v>
                </c:pt>
                <c:pt idx="8">
                  <c:v>942.92385360936919</c:v>
                </c:pt>
                <c:pt idx="9">
                  <c:v>954.70262291550614</c:v>
                </c:pt>
                <c:pt idx="10">
                  <c:v>962.58160485165035</c:v>
                </c:pt>
                <c:pt idx="11">
                  <c:v>967.85196500020538</c:v>
                </c:pt>
                <c:pt idx="12">
                  <c:v>971.3773819031245</c:v>
                </c:pt>
                <c:pt idx="13">
                  <c:v>973.73558209989756</c:v>
                </c:pt>
                <c:pt idx="14">
                  <c:v>975.313014874857</c:v>
                </c:pt>
                <c:pt idx="15">
                  <c:v>976.3681815069865</c:v>
                </c:pt>
                <c:pt idx="16">
                  <c:v>977.07399708228945</c:v>
                </c:pt>
                <c:pt idx="17">
                  <c:v>978.21450324955492</c:v>
                </c:pt>
                <c:pt idx="18">
                  <c:v>978.44284135501937</c:v>
                </c:pt>
                <c:pt idx="19">
                  <c:v>978.48855639971055</c:v>
                </c:pt>
                <c:pt idx="20">
                  <c:v>978.49770890321793</c:v>
                </c:pt>
              </c:numCache>
            </c:numRef>
          </c:yVal>
          <c:smooth val="0"/>
          <c:extLst>
            <c:ext xmlns:c16="http://schemas.microsoft.com/office/drawing/2014/chart" uri="{C3380CC4-5D6E-409C-BE32-E72D297353CC}">
              <c16:uniqueId val="{00000004-040F-497C-B17E-A61D14C21D3B}"/>
            </c:ext>
          </c:extLst>
        </c:ser>
        <c:dLbls>
          <c:showLegendKey val="0"/>
          <c:showVal val="0"/>
          <c:showCatName val="0"/>
          <c:showSerName val="0"/>
          <c:showPercent val="0"/>
          <c:showBubbleSize val="0"/>
        </c:dLbls>
        <c:axId val="1940563327"/>
        <c:axId val="1940566655"/>
      </c:scatterChart>
      <c:valAx>
        <c:axId val="194056332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AU"/>
                  <a:t>Annual precipitation (P,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940566655"/>
        <c:crosses val="autoZero"/>
        <c:crossBetween val="midCat"/>
      </c:valAx>
      <c:valAx>
        <c:axId val="1940566655"/>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AU"/>
                  <a:t>Annual evapotranspiration (ET,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940563327"/>
        <c:crosses val="autoZero"/>
        <c:crossBetween val="midCat"/>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565528338445463"/>
          <c:y val="5.0925925925925923E-2"/>
          <c:w val="0.78755823205152731"/>
          <c:h val="0.79442913385826774"/>
        </c:manualLayout>
      </c:layout>
      <c:scatterChart>
        <c:scatterStyle val="lineMarker"/>
        <c:varyColors val="0"/>
        <c:ser>
          <c:idx val="0"/>
          <c:order val="0"/>
          <c:tx>
            <c:strRef>
              <c:f>'ET and VEE vs P'!$AA$9</c:f>
              <c:strCache>
                <c:ptCount val="1"/>
                <c:pt idx="0">
                  <c:v>VEE actual</c:v>
                </c:pt>
              </c:strCache>
            </c:strRef>
          </c:tx>
          <c:spPr>
            <a:ln w="25400" cap="rnd">
              <a:noFill/>
              <a:round/>
            </a:ln>
            <a:effectLst/>
          </c:spPr>
          <c:marker>
            <c:symbol val="circle"/>
            <c:size val="6"/>
            <c:spPr>
              <a:solidFill>
                <a:schemeClr val="bg1"/>
              </a:solidFill>
              <a:ln w="9525">
                <a:solidFill>
                  <a:schemeClr val="tx1"/>
                </a:solidFill>
              </a:ln>
              <a:effectLst/>
            </c:spPr>
          </c:marker>
          <c:xVal>
            <c:numRef>
              <c:f>'ET and VEE vs P'!$P$10:$P$36</c:f>
              <c:numCache>
                <c:formatCode>0.0</c:formatCode>
                <c:ptCount val="27"/>
                <c:pt idx="0">
                  <c:v>2188.7000000000003</c:v>
                </c:pt>
                <c:pt idx="1">
                  <c:v>1892.5666666666668</c:v>
                </c:pt>
                <c:pt idx="2">
                  <c:v>1494.9500000000003</c:v>
                </c:pt>
                <c:pt idx="3">
                  <c:v>724.67500000000007</c:v>
                </c:pt>
                <c:pt idx="4">
                  <c:v>773.40000000000009</c:v>
                </c:pt>
                <c:pt idx="5">
                  <c:v>753.63333333333333</c:v>
                </c:pt>
                <c:pt idx="6">
                  <c:v>884.23636363636365</c:v>
                </c:pt>
                <c:pt idx="7">
                  <c:v>729.65000000000009</c:v>
                </c:pt>
                <c:pt idx="8">
                  <c:v>1330.2</c:v>
                </c:pt>
                <c:pt idx="9">
                  <c:v>1640.7</c:v>
                </c:pt>
                <c:pt idx="10">
                  <c:v>1341.8666666666668</c:v>
                </c:pt>
                <c:pt idx="11">
                  <c:v>1222.3</c:v>
                </c:pt>
                <c:pt idx="12">
                  <c:v>970.56666666666661</c:v>
                </c:pt>
                <c:pt idx="13">
                  <c:v>1355.85</c:v>
                </c:pt>
                <c:pt idx="14">
                  <c:v>1476.6076923076923</c:v>
                </c:pt>
                <c:pt idx="15">
                  <c:v>1433.2769230769229</c:v>
                </c:pt>
                <c:pt idx="16">
                  <c:v>863.38000000000011</c:v>
                </c:pt>
                <c:pt idx="17">
                  <c:v>863.38000000000011</c:v>
                </c:pt>
                <c:pt idx="18">
                  <c:v>1328</c:v>
                </c:pt>
                <c:pt idx="19">
                  <c:v>777.61848739495781</c:v>
                </c:pt>
                <c:pt idx="20">
                  <c:v>777.61848739495781</c:v>
                </c:pt>
                <c:pt idx="21">
                  <c:v>1664</c:v>
                </c:pt>
                <c:pt idx="22">
                  <c:v>1673</c:v>
                </c:pt>
                <c:pt idx="23">
                  <c:v>1845</c:v>
                </c:pt>
                <c:pt idx="24">
                  <c:v>1845</c:v>
                </c:pt>
                <c:pt idx="25">
                  <c:v>1283</c:v>
                </c:pt>
                <c:pt idx="26">
                  <c:v>1260</c:v>
                </c:pt>
              </c:numCache>
            </c:numRef>
          </c:xVal>
          <c:yVal>
            <c:numRef>
              <c:f>'ET and VEE vs P'!$AA$10:$AA$36</c:f>
              <c:numCache>
                <c:formatCode>General</c:formatCode>
                <c:ptCount val="27"/>
                <c:pt idx="0">
                  <c:v>0.77580820206307533</c:v>
                </c:pt>
                <c:pt idx="1">
                  <c:v>0.71943624806462636</c:v>
                </c:pt>
                <c:pt idx="2">
                  <c:v>0.63173223625916664</c:v>
                </c:pt>
                <c:pt idx="3">
                  <c:v>0.46298461359207632</c:v>
                </c:pt>
                <c:pt idx="4">
                  <c:v>0.32102182206805224</c:v>
                </c:pt>
                <c:pt idx="5">
                  <c:v>0.39333678634337699</c:v>
                </c:pt>
                <c:pt idx="6">
                  <c:v>0.64920367409530622</c:v>
                </c:pt>
                <c:pt idx="7">
                  <c:v>0.28635056392895986</c:v>
                </c:pt>
                <c:pt idx="8">
                  <c:v>0.96733297060251155</c:v>
                </c:pt>
                <c:pt idx="9">
                  <c:v>0.74124829394372682</c:v>
                </c:pt>
                <c:pt idx="10">
                  <c:v>0.7539899592554169</c:v>
                </c:pt>
                <c:pt idx="11">
                  <c:v>0.79946879150066397</c:v>
                </c:pt>
                <c:pt idx="12">
                  <c:v>0.45810154599931346</c:v>
                </c:pt>
                <c:pt idx="13">
                  <c:v>0.73638700107151844</c:v>
                </c:pt>
                <c:pt idx="14">
                  <c:v>0.79925510941125799</c:v>
                </c:pt>
                <c:pt idx="15">
                  <c:v>0.73018749231255475</c:v>
                </c:pt>
                <c:pt idx="16">
                  <c:v>0.82883379513221944</c:v>
                </c:pt>
                <c:pt idx="17">
                  <c:v>0.82883379513221944</c:v>
                </c:pt>
                <c:pt idx="18">
                  <c:v>0.5694789081885856</c:v>
                </c:pt>
                <c:pt idx="19">
                  <c:v>0.68689805560603312</c:v>
                </c:pt>
                <c:pt idx="20">
                  <c:v>0.69507541341086687</c:v>
                </c:pt>
                <c:pt idx="21">
                  <c:v>0.59945799457994575</c:v>
                </c:pt>
                <c:pt idx="22">
                  <c:v>0.50783912747102933</c:v>
                </c:pt>
                <c:pt idx="23">
                  <c:v>0.91304347826086951</c:v>
                </c:pt>
                <c:pt idx="24">
                  <c:v>0.81739130434782614</c:v>
                </c:pt>
                <c:pt idx="25">
                  <c:v>0.59750000000000003</c:v>
                </c:pt>
                <c:pt idx="26">
                  <c:v>0.67749999999999999</c:v>
                </c:pt>
              </c:numCache>
            </c:numRef>
          </c:yVal>
          <c:smooth val="0"/>
          <c:extLst>
            <c:ext xmlns:c16="http://schemas.microsoft.com/office/drawing/2014/chart" uri="{C3380CC4-5D6E-409C-BE32-E72D297353CC}">
              <c16:uniqueId val="{00000000-040F-497C-B17E-A61D14C21D3B}"/>
            </c:ext>
          </c:extLst>
        </c:ser>
        <c:ser>
          <c:idx val="1"/>
          <c:order val="1"/>
          <c:spPr>
            <a:ln w="25400" cap="rnd">
              <a:noFill/>
              <a:round/>
            </a:ln>
            <a:effectLst/>
          </c:spPr>
          <c:marker>
            <c:symbol val="triangle"/>
            <c:size val="6"/>
            <c:spPr>
              <a:solidFill>
                <a:schemeClr val="bg1"/>
              </a:solidFill>
              <a:ln w="9525">
                <a:solidFill>
                  <a:schemeClr val="tx1"/>
                </a:solidFill>
              </a:ln>
              <a:effectLst/>
            </c:spPr>
          </c:marker>
          <c:xVal>
            <c:numRef>
              <c:f>'ET and VEE vs P'!$P$37:$P$66</c:f>
              <c:numCache>
                <c:formatCode>0.0</c:formatCode>
                <c:ptCount val="30"/>
                <c:pt idx="0">
                  <c:v>716.88</c:v>
                </c:pt>
                <c:pt idx="1">
                  <c:v>788.22</c:v>
                </c:pt>
                <c:pt idx="2">
                  <c:v>788.22</c:v>
                </c:pt>
                <c:pt idx="3">
                  <c:v>754.22</c:v>
                </c:pt>
                <c:pt idx="4">
                  <c:v>963.13529411764716</c:v>
                </c:pt>
                <c:pt idx="5">
                  <c:v>1181.2</c:v>
                </c:pt>
                <c:pt idx="6">
                  <c:v>611.9545454545455</c:v>
                </c:pt>
                <c:pt idx="7">
                  <c:v>805.72727272727275</c:v>
                </c:pt>
                <c:pt idx="8">
                  <c:v>1094.9333333333334</c:v>
                </c:pt>
                <c:pt idx="9">
                  <c:v>1272.952380952381</c:v>
                </c:pt>
                <c:pt idx="10">
                  <c:v>1362.65</c:v>
                </c:pt>
                <c:pt idx="11">
                  <c:v>1134.175</c:v>
                </c:pt>
                <c:pt idx="12">
                  <c:v>1092.2249999999999</c:v>
                </c:pt>
                <c:pt idx="13">
                  <c:v>1117.8499999999999</c:v>
                </c:pt>
                <c:pt idx="14">
                  <c:v>1278.7</c:v>
                </c:pt>
                <c:pt idx="15">
                  <c:v>1123.9636363636364</c:v>
                </c:pt>
                <c:pt idx="16">
                  <c:v>946.22500000000025</c:v>
                </c:pt>
                <c:pt idx="17">
                  <c:v>1425.6000000000001</c:v>
                </c:pt>
                <c:pt idx="18">
                  <c:v>1425.6000000000001</c:v>
                </c:pt>
                <c:pt idx="19">
                  <c:v>1309.2000000000003</c:v>
                </c:pt>
                <c:pt idx="20">
                  <c:v>1400.25</c:v>
                </c:pt>
                <c:pt idx="21">
                  <c:v>737.84374999999989</c:v>
                </c:pt>
                <c:pt idx="22">
                  <c:v>1601.75</c:v>
                </c:pt>
                <c:pt idx="23">
                  <c:v>1512</c:v>
                </c:pt>
                <c:pt idx="24">
                  <c:v>1673</c:v>
                </c:pt>
                <c:pt idx="25">
                  <c:v>661</c:v>
                </c:pt>
                <c:pt idx="26">
                  <c:v>1960</c:v>
                </c:pt>
                <c:pt idx="27">
                  <c:v>1960</c:v>
                </c:pt>
                <c:pt idx="28">
                  <c:v>1272</c:v>
                </c:pt>
                <c:pt idx="29">
                  <c:v>1290</c:v>
                </c:pt>
              </c:numCache>
            </c:numRef>
          </c:xVal>
          <c:yVal>
            <c:numRef>
              <c:f>'ET and VEE vs P'!$AA$37:$AA$66</c:f>
              <c:numCache>
                <c:formatCode>General</c:formatCode>
                <c:ptCount val="30"/>
                <c:pt idx="0">
                  <c:v>0.43421682924869276</c:v>
                </c:pt>
                <c:pt idx="1">
                  <c:v>0.51737053669667088</c:v>
                </c:pt>
                <c:pt idx="2">
                  <c:v>0.41324564880803272</c:v>
                </c:pt>
                <c:pt idx="3">
                  <c:v>0.35385588880110208</c:v>
                </c:pt>
                <c:pt idx="4">
                  <c:v>0.64650467519862653</c:v>
                </c:pt>
                <c:pt idx="5">
                  <c:v>0.46176955466999386</c:v>
                </c:pt>
                <c:pt idx="6">
                  <c:v>0.24927049876499843</c:v>
                </c:pt>
                <c:pt idx="7">
                  <c:v>0.29870050466765286</c:v>
                </c:pt>
                <c:pt idx="8">
                  <c:v>0.35720763531243382</c:v>
                </c:pt>
                <c:pt idx="9">
                  <c:v>0.64223847178680371</c:v>
                </c:pt>
                <c:pt idx="10">
                  <c:v>0.81297318603341906</c:v>
                </c:pt>
                <c:pt idx="11">
                  <c:v>0.63783554125578279</c:v>
                </c:pt>
                <c:pt idx="12">
                  <c:v>0.67002341102504559</c:v>
                </c:pt>
                <c:pt idx="13">
                  <c:v>0.44860182578756386</c:v>
                </c:pt>
                <c:pt idx="14">
                  <c:v>0.71134241961842792</c:v>
                </c:pt>
                <c:pt idx="15">
                  <c:v>0.64671011679267909</c:v>
                </c:pt>
                <c:pt idx="16">
                  <c:v>0.56302104029619071</c:v>
                </c:pt>
                <c:pt idx="17">
                  <c:v>0.52190289170522752</c:v>
                </c:pt>
                <c:pt idx="18">
                  <c:v>0.60088703131137378</c:v>
                </c:pt>
                <c:pt idx="19">
                  <c:v>0.68859184337386226</c:v>
                </c:pt>
                <c:pt idx="20">
                  <c:v>0.78436931818181821</c:v>
                </c:pt>
                <c:pt idx="21">
                  <c:v>0.45687068965517241</c:v>
                </c:pt>
                <c:pt idx="22">
                  <c:v>0.90142150649464692</c:v>
                </c:pt>
                <c:pt idx="23">
                  <c:v>0.78987730061349692</c:v>
                </c:pt>
                <c:pt idx="24">
                  <c:v>0.49829584185412407</c:v>
                </c:pt>
                <c:pt idx="25">
                  <c:v>0.31948343627175746</c:v>
                </c:pt>
                <c:pt idx="26">
                  <c:v>0.92500000000000004</c:v>
                </c:pt>
                <c:pt idx="27">
                  <c:v>0.83518518518518514</c:v>
                </c:pt>
                <c:pt idx="28">
                  <c:v>0.64687499999999998</c:v>
                </c:pt>
                <c:pt idx="29">
                  <c:v>0.65562500000000001</c:v>
                </c:pt>
              </c:numCache>
            </c:numRef>
          </c:yVal>
          <c:smooth val="0"/>
          <c:extLst>
            <c:ext xmlns:c16="http://schemas.microsoft.com/office/drawing/2014/chart" uri="{C3380CC4-5D6E-409C-BE32-E72D297353CC}">
              <c16:uniqueId val="{00000001-040F-497C-B17E-A61D14C21D3B}"/>
            </c:ext>
          </c:extLst>
        </c:ser>
        <c:ser>
          <c:idx val="2"/>
          <c:order val="2"/>
          <c:spPr>
            <a:ln w="25400" cap="rnd">
              <a:solidFill>
                <a:schemeClr val="tx1"/>
              </a:solidFill>
              <a:round/>
            </a:ln>
            <a:effectLst/>
          </c:spPr>
          <c:marker>
            <c:symbol val="none"/>
          </c:marker>
          <c:xVal>
            <c:numRef>
              <c:f>'ET and VEE vs P'!$AC$101:$AC$108</c:f>
              <c:numCache>
                <c:formatCode>General</c:formatCode>
                <c:ptCount val="8"/>
                <c:pt idx="0">
                  <c:v>500</c:v>
                </c:pt>
                <c:pt idx="1">
                  <c:v>2250</c:v>
                </c:pt>
              </c:numCache>
            </c:numRef>
          </c:xVal>
          <c:yVal>
            <c:numRef>
              <c:f>'ET and VEE vs P'!$AD$101:$AD$108</c:f>
              <c:numCache>
                <c:formatCode>General</c:formatCode>
                <c:ptCount val="8"/>
                <c:pt idx="0">
                  <c:v>0.41034999999999999</c:v>
                </c:pt>
                <c:pt idx="1">
                  <c:v>0.92257500000000003</c:v>
                </c:pt>
              </c:numCache>
            </c:numRef>
          </c:yVal>
          <c:smooth val="0"/>
          <c:extLst>
            <c:ext xmlns:c16="http://schemas.microsoft.com/office/drawing/2014/chart" uri="{C3380CC4-5D6E-409C-BE32-E72D297353CC}">
              <c16:uniqueId val="{00000004-040F-497C-B17E-A61D14C21D3B}"/>
            </c:ext>
          </c:extLst>
        </c:ser>
        <c:ser>
          <c:idx val="3"/>
          <c:order val="3"/>
          <c:spPr>
            <a:ln w="25400" cap="rnd">
              <a:noFill/>
              <a:round/>
            </a:ln>
            <a:effectLst/>
          </c:spPr>
          <c:marker>
            <c:symbol val="circle"/>
            <c:size val="5"/>
            <c:spPr>
              <a:solidFill>
                <a:schemeClr val="accent4"/>
              </a:solidFill>
              <a:ln w="9525">
                <a:solidFill>
                  <a:schemeClr val="accent4"/>
                </a:solidFill>
              </a:ln>
              <a:effectLst/>
            </c:spPr>
          </c:marker>
          <c:xVal>
            <c:numRef>
              <c:f>'ET and VEE vs P'!$AC$101:$AC$102</c:f>
              <c:numCache>
                <c:formatCode>General</c:formatCode>
                <c:ptCount val="2"/>
                <c:pt idx="0">
                  <c:v>500</c:v>
                </c:pt>
                <c:pt idx="1">
                  <c:v>2250</c:v>
                </c:pt>
              </c:numCache>
            </c:numRef>
          </c:xVal>
          <c:yVal>
            <c:numRef>
              <c:f>'ET and VEE vs P'!$AD$101:$AD$102</c:f>
              <c:numCache>
                <c:formatCode>General</c:formatCode>
                <c:ptCount val="2"/>
                <c:pt idx="0">
                  <c:v>0.41034999999999999</c:v>
                </c:pt>
                <c:pt idx="1">
                  <c:v>0.92257500000000003</c:v>
                </c:pt>
              </c:numCache>
            </c:numRef>
          </c:yVal>
          <c:smooth val="0"/>
          <c:extLst>
            <c:ext xmlns:c16="http://schemas.microsoft.com/office/drawing/2014/chart" uri="{C3380CC4-5D6E-409C-BE32-E72D297353CC}">
              <c16:uniqueId val="{00000003-F0A2-1148-B093-BD9257C94B1A}"/>
            </c:ext>
          </c:extLst>
        </c:ser>
        <c:dLbls>
          <c:showLegendKey val="0"/>
          <c:showVal val="0"/>
          <c:showCatName val="0"/>
          <c:showSerName val="0"/>
          <c:showPercent val="0"/>
          <c:showBubbleSize val="0"/>
        </c:dLbls>
        <c:axId val="1940563327"/>
        <c:axId val="1940566655"/>
      </c:scatterChart>
      <c:valAx>
        <c:axId val="194056332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Annual precipitation (P,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940566655"/>
        <c:crosses val="autoZero"/>
        <c:crossBetween val="midCat"/>
      </c:valAx>
      <c:valAx>
        <c:axId val="1940566655"/>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Vegetation evaporation efficiency (ET/PET)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940563327"/>
        <c:crosses val="autoZero"/>
        <c:crossBetween val="midCat"/>
      </c:valAx>
      <c:spPr>
        <a:noFill/>
        <a:ln w="25400">
          <a:noFill/>
        </a:ln>
        <a:effectLst/>
      </c:spPr>
    </c:plotArea>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baseline="0">
          <a:solidFill>
            <a:schemeClr val="tx1"/>
          </a:solidFill>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plotArea>
      <cx:plotAreaRegion>
        <cx:series layoutId="boxWhisker" uniqueId="{597B94AC-981A-D34D-A5B1-509264102911}">
          <cx:spPr>
            <a:ln>
              <a:solidFill>
                <a:schemeClr val="tx1"/>
              </a:solidFill>
            </a:ln>
          </cx:spPr>
          <cx:dataLabels pos="r">
            <cx:numFmt formatCode="#,##0" sourceLinked="0"/>
            <cx:visibility seriesName="0" categoryName="0" value="1"/>
          </cx:dataLabels>
          <cx:dataId val="0"/>
          <cx:layoutPr>
            <cx:visibility meanLine="0" nonoutliers="0"/>
            <cx:statistics quartileMethod="exclusive"/>
          </cx:layoutPr>
        </cx:series>
      </cx:plotAreaRegion>
      <cx:axis id="0">
        <cx:catScaling gapWidth="1.10000002"/>
        <cx:title>
          <cx:tx>
            <cx:txData>
              <cx:v>Genus</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Genus</a:t>
              </a:r>
            </a:p>
          </cx:txPr>
        </cx:title>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axis id="1">
        <cx:valScaling/>
        <cx:title>
          <cx:tx>
            <cx:txData>
              <cx:v>Annual Evapotranspiration (mm)</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Annual Evapotranspiration (mm)</a:t>
              </a:r>
            </a:p>
          </cx:txPr>
        </cx:title>
        <cx:majorTickMarks type="out"/>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plotArea>
  </cx:chart>
  <cx:spPr>
    <a:ln>
      <a:solidFill>
        <a:schemeClr val="bg1"/>
      </a:solidFill>
    </a:ln>
  </cx:spPr>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val">
        <cx:f>_xlchart.v1.3</cx:f>
      </cx:numDim>
    </cx:data>
  </cx:chartData>
  <cx:chart>
    <cx:plotArea>
      <cx:plotAreaRegion>
        <cx:series layoutId="boxWhisker" uniqueId="{79775433-2555-4440-A00B-8ADFE7B0E679}">
          <cx:spPr>
            <a:ln>
              <a:solidFill>
                <a:schemeClr val="tx1"/>
              </a:solidFill>
            </a:ln>
          </cx:spPr>
          <cx:dataId val="0"/>
          <cx:layoutPr>
            <cx:visibility nonoutliers="0" outliers="1"/>
            <cx:statistics quartileMethod="exclusive"/>
          </cx:layoutPr>
        </cx:series>
      </cx:plotAreaRegion>
      <cx:axis id="0">
        <cx:catScaling gapWidth="1.10000002"/>
        <cx:title>
          <cx:tx>
            <cx:txData>
              <cx:v>Genus</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Genus</a:t>
              </a:r>
            </a:p>
          </cx:txPr>
        </cx:title>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axis id="1">
        <cx:valScaling/>
        <cx:title>
          <cx:tx>
            <cx:txData>
              <cx:v>Annual rainfall (mm)</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Annual rainfall (mm)</a:t>
              </a:r>
            </a:p>
          </cx:txPr>
        </cx:title>
        <cx:majorTickMarks type="out"/>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plotArea>
  </cx:chart>
  <cx:spPr>
    <a:ln>
      <a:solidFill>
        <a:schemeClr val="bg1"/>
      </a:solidFill>
    </a:ln>
  </cx:spPr>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_xlchart.v1.4</cx:f>
      </cx:strDim>
      <cx:numDim type="val">
        <cx:f>_xlchart.v1.5</cx:f>
      </cx:numDim>
    </cx:data>
  </cx:chartData>
  <cx:chart>
    <cx:plotArea>
      <cx:plotAreaRegion>
        <cx:series layoutId="boxWhisker" uniqueId="{848CB023-4B53-434B-8168-F5EC95399560}">
          <cx:spPr>
            <a:ln>
              <a:solidFill>
                <a:schemeClr val="tx1"/>
              </a:solidFill>
            </a:ln>
          </cx:spPr>
          <cx:dataLabels pos="r">
            <cx:numFmt formatCode="#,##0.00" sourceLinked="0"/>
            <cx:visibility seriesName="0" categoryName="0" value="1"/>
          </cx:dataLabels>
          <cx:dataId val="0"/>
          <cx:layoutPr>
            <cx:visibility meanLine="0" nonoutliers="0"/>
            <cx:statistics quartileMethod="exclusive"/>
          </cx:layoutPr>
        </cx:series>
      </cx:plotAreaRegion>
      <cx:axis id="0">
        <cx:catScaling gapWidth="1.10000002"/>
        <cx:title>
          <cx:tx>
            <cx:txData>
              <cx:v>Genus</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Genus</a:t>
              </a:r>
            </a:p>
          </cx:txPr>
        </cx:title>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axis id="1">
        <cx:valScaling/>
        <cx:title>
          <cx:tx>
            <cx:txData>
              <cx:v>Annual evapotranspiration / Rainfall (mm)</cx:v>
            </cx:txData>
          </cx:tx>
          <cx:txPr>
            <a:bodyPr spcFirstLastPara="1" vertOverflow="ellipsis" horzOverflow="overflow" wrap="square" lIns="0" tIns="0" rIns="0" bIns="0" anchor="ctr" anchorCtr="1"/>
            <a:lstStyle/>
            <a:p>
              <a:pPr algn="ctr" rtl="0">
                <a:defRPr>
                  <a:solidFill>
                    <a:schemeClr val="tx1"/>
                  </a:solidFill>
                </a:defRPr>
              </a:pPr>
              <a:r>
                <a:rPr lang="en-GB" sz="900" b="1" i="0" u="none" strike="noStrike" baseline="0">
                  <a:solidFill>
                    <a:schemeClr val="tx1"/>
                  </a:solidFill>
                  <a:latin typeface="Calibri" panose="020F0502020204030204"/>
                </a:rPr>
                <a:t>Annual evapotranspiration / Rainfall (mm)</a:t>
              </a:r>
            </a:p>
          </cx:txPr>
        </cx:title>
        <cx:majorTickMarks type="out"/>
        <cx:tickLabels/>
        <cx:spPr>
          <a:ln w="6350">
            <a:solidFill>
              <a:schemeClr val="tx1"/>
            </a:solidFill>
          </a:ln>
        </cx:spPr>
        <cx:txPr>
          <a:bodyPr vertOverflow="overflow" horzOverflow="overflow" wrap="square" lIns="0" tIns="0" rIns="0" bIns="0"/>
          <a:lstStyle/>
          <a:p>
            <a:pPr algn="ctr" rtl="0">
              <a:defRPr sz="900" b="0" i="0">
                <a:solidFill>
                  <a:schemeClr val="tx1"/>
                </a:solidFill>
                <a:latin typeface="Calibri" panose="020F0502020204030204" pitchFamily="34" charset="0"/>
                <a:ea typeface="Calibri" panose="020F0502020204030204" pitchFamily="34" charset="0"/>
                <a:cs typeface="Calibri" panose="020F0502020204030204" pitchFamily="34" charset="0"/>
              </a:defRPr>
            </a:pPr>
            <a:endParaRPr lang="en-GB">
              <a:solidFill>
                <a:schemeClr val="tx1"/>
              </a:solidFill>
            </a:endParaRPr>
          </a:p>
        </cx:txPr>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407">
  <cs:axisTitle>
    <cs:lnRef idx="0"/>
    <cs:fillRef idx="0"/>
    <cs:effectRef idx="0"/>
    <cs:fontRef idx="minor">
      <a:schemeClr val="tx1">
        <a:lumMod val="65000"/>
        <a:lumOff val="35000"/>
      </a:schemeClr>
    </cs:fontRef>
    <cs:defRPr sz="900" b="1"/>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cs:chartArea>
  <cs:dataLabel>
    <cs:lnRef idx="0"/>
    <cs:fillRef idx="0"/>
    <cs:effectRef idx="0"/>
    <cs:fontRef idx="minor">
      <a:schemeClr val="tx1">
        <a:lumMod val="75000"/>
        <a:lumOff val="2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ln>
        <a:solidFill>
          <a:schemeClr val="phClr"/>
        </a:solidFill>
      </a:ln>
    </cs:spPr>
  </cs:dataPoint>
  <cs:dataPoint3D>
    <cs:lnRef idx="0"/>
    <cs:fillRef idx="0">
      <cs:styleClr val="auto"/>
    </cs:fillRef>
    <cs:effectRef idx="0"/>
    <cs:fontRef idx="minor">
      <a:schemeClr val="dk1"/>
    </cs:fontRef>
    <cs:spPr>
      <a:solidFill>
        <a:schemeClr val="phClr"/>
      </a:solid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25000"/>
            <a:lumOff val="75000"/>
          </a:schemeClr>
        </a:solidFill>
      </a:ln>
    </cs:spPr>
    <cs:defRPr sz="9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25000"/>
            <a:lumOff val="75000"/>
          </a:schemeClr>
        </a:solidFill>
      </a:ln>
    </cs:spPr>
  </cs:gridlineMajor>
  <cs:gridlineMinor>
    <cs:lnRef idx="0"/>
    <cs:fillRef idx="0"/>
    <cs:effectRef idx="0"/>
    <cs:fontRef idx="minor">
      <a:schemeClr val="dk1"/>
    </cs:fontRef>
    <cs:spPr>
      <a:ln>
        <a:solidFill>
          <a:schemeClr val="tx1">
            <a:lumMod val="25000"/>
            <a:lumOff val="75000"/>
            <a:lumOff val="10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inor">
      <a:schemeClr val="tx1">
        <a:lumMod val="50000"/>
        <a:lumOff val="50000"/>
      </a:schemeClr>
    </cs:fontRef>
    <cs:defRPr sz="1800" b="1" cap="all" spc="15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407">
  <cs:axisTitle>
    <cs:lnRef idx="0"/>
    <cs:fillRef idx="0"/>
    <cs:effectRef idx="0"/>
    <cs:fontRef idx="minor">
      <a:schemeClr val="tx1">
        <a:lumMod val="65000"/>
        <a:lumOff val="35000"/>
      </a:schemeClr>
    </cs:fontRef>
    <cs:defRPr sz="900" b="1"/>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cs:chartArea>
  <cs:dataLabel>
    <cs:lnRef idx="0"/>
    <cs:fillRef idx="0"/>
    <cs:effectRef idx="0"/>
    <cs:fontRef idx="minor">
      <a:schemeClr val="tx1">
        <a:lumMod val="75000"/>
        <a:lumOff val="2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ln>
        <a:solidFill>
          <a:schemeClr val="phClr"/>
        </a:solidFill>
      </a:ln>
    </cs:spPr>
  </cs:dataPoint>
  <cs:dataPoint3D>
    <cs:lnRef idx="0"/>
    <cs:fillRef idx="0">
      <cs:styleClr val="auto"/>
    </cs:fillRef>
    <cs:effectRef idx="0"/>
    <cs:fontRef idx="minor">
      <a:schemeClr val="dk1"/>
    </cs:fontRef>
    <cs:spPr>
      <a:solidFill>
        <a:schemeClr val="phClr"/>
      </a:solid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25000"/>
            <a:lumOff val="75000"/>
          </a:schemeClr>
        </a:solidFill>
      </a:ln>
    </cs:spPr>
    <cs:defRPr sz="9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25000"/>
            <a:lumOff val="75000"/>
          </a:schemeClr>
        </a:solidFill>
      </a:ln>
    </cs:spPr>
  </cs:gridlineMajor>
  <cs:gridlineMinor>
    <cs:lnRef idx="0"/>
    <cs:fillRef idx="0"/>
    <cs:effectRef idx="0"/>
    <cs:fontRef idx="minor">
      <a:schemeClr val="dk1"/>
    </cs:fontRef>
    <cs:spPr>
      <a:ln>
        <a:solidFill>
          <a:schemeClr val="tx1">
            <a:lumMod val="25000"/>
            <a:lumOff val="75000"/>
            <a:lumOff val="10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inor">
      <a:schemeClr val="tx1">
        <a:lumMod val="50000"/>
        <a:lumOff val="50000"/>
      </a:schemeClr>
    </cs:fontRef>
    <cs:defRPr sz="1800" b="1" cap="all" spc="15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407">
  <cs:axisTitle>
    <cs:lnRef idx="0"/>
    <cs:fillRef idx="0"/>
    <cs:effectRef idx="0"/>
    <cs:fontRef idx="minor">
      <a:schemeClr val="tx1">
        <a:lumMod val="65000"/>
        <a:lumOff val="35000"/>
      </a:schemeClr>
    </cs:fontRef>
    <cs:defRPr sz="900" b="1"/>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cs:chartArea>
  <cs:dataLabel>
    <cs:lnRef idx="0"/>
    <cs:fillRef idx="0"/>
    <cs:effectRef idx="0"/>
    <cs:fontRef idx="minor">
      <a:schemeClr val="tx1">
        <a:lumMod val="75000"/>
        <a:lumOff val="2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ln>
        <a:solidFill>
          <a:schemeClr val="phClr"/>
        </a:solidFill>
      </a:ln>
    </cs:spPr>
  </cs:dataPoint>
  <cs:dataPoint3D>
    <cs:lnRef idx="0"/>
    <cs:fillRef idx="0">
      <cs:styleClr val="auto"/>
    </cs:fillRef>
    <cs:effectRef idx="0"/>
    <cs:fontRef idx="minor">
      <a:schemeClr val="dk1"/>
    </cs:fontRef>
    <cs:spPr>
      <a:solidFill>
        <a:schemeClr val="phClr"/>
      </a:solid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25000"/>
            <a:lumOff val="75000"/>
          </a:schemeClr>
        </a:solidFill>
      </a:ln>
    </cs:spPr>
    <cs:defRPr sz="9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25000"/>
            <a:lumOff val="75000"/>
          </a:schemeClr>
        </a:solidFill>
      </a:ln>
    </cs:spPr>
  </cs:gridlineMajor>
  <cs:gridlineMinor>
    <cs:lnRef idx="0"/>
    <cs:fillRef idx="0"/>
    <cs:effectRef idx="0"/>
    <cs:fontRef idx="minor">
      <a:schemeClr val="dk1"/>
    </cs:fontRef>
    <cs:spPr>
      <a:ln>
        <a:solidFill>
          <a:schemeClr val="tx1">
            <a:lumMod val="25000"/>
            <a:lumOff val="75000"/>
            <a:lumOff val="10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inor">
      <a:schemeClr val="tx1">
        <a:lumMod val="50000"/>
        <a:lumOff val="50000"/>
      </a:schemeClr>
    </cs:fontRef>
    <cs:defRPr sz="1800" b="1" cap="all" spc="15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3" Type="http://schemas.openxmlformats.org/officeDocument/2006/relationships/chart" Target="../charts/chart3.xml"/><Relationship Id="rId7" Type="http://schemas.openxmlformats.org/officeDocument/2006/relationships/chart" Target="../charts/chart4.xml"/><Relationship Id="rId2" Type="http://schemas.openxmlformats.org/officeDocument/2006/relationships/chart" Target="../charts/chart2.xml"/><Relationship Id="rId1" Type="http://schemas.openxmlformats.org/officeDocument/2006/relationships/chart" Target="../charts/chart1.xml"/><Relationship Id="rId6" Type="http://schemas.microsoft.com/office/2014/relationships/chartEx" Target="../charts/chartEx3.xml"/><Relationship Id="rId5" Type="http://schemas.microsoft.com/office/2014/relationships/chartEx" Target="../charts/chartEx2.xml"/><Relationship Id="rId4" Type="http://schemas.microsoft.com/office/2014/relationships/chartEx" Target="../charts/chartEx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36</xdr:col>
      <xdr:colOff>486835</xdr:colOff>
      <xdr:row>65</xdr:row>
      <xdr:rowOff>143934</xdr:rowOff>
    </xdr:from>
    <xdr:to>
      <xdr:col>44</xdr:col>
      <xdr:colOff>59268</xdr:colOff>
      <xdr:row>85</xdr:row>
      <xdr:rowOff>22755</xdr:rowOff>
    </xdr:to>
    <xdr:graphicFrame macro="">
      <xdr:nvGraphicFramePr>
        <xdr:cNvPr id="2" name="Chart 1">
          <a:extLst>
            <a:ext uri="{FF2B5EF4-FFF2-40B4-BE49-F238E27FC236}">
              <a16:creationId xmlns:a16="http://schemas.microsoft.com/office/drawing/2014/main" id="{D632AEC2-2319-5948-82EC-5BF7CC8282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175684</xdr:colOff>
      <xdr:row>91</xdr:row>
      <xdr:rowOff>12700</xdr:rowOff>
    </xdr:from>
    <xdr:to>
      <xdr:col>42</xdr:col>
      <xdr:colOff>203201</xdr:colOff>
      <xdr:row>109</xdr:row>
      <xdr:rowOff>160867</xdr:rowOff>
    </xdr:to>
    <xdr:graphicFrame macro="">
      <xdr:nvGraphicFramePr>
        <xdr:cNvPr id="3" name="Chart 2">
          <a:extLst>
            <a:ext uri="{FF2B5EF4-FFF2-40B4-BE49-F238E27FC236}">
              <a16:creationId xmlns:a16="http://schemas.microsoft.com/office/drawing/2014/main" id="{C5261F97-CFF3-B94F-8BD4-5E98666B5C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36</xdr:col>
      <xdr:colOff>552450</xdr:colOff>
      <xdr:row>4</xdr:row>
      <xdr:rowOff>177800</xdr:rowOff>
    </xdr:from>
    <xdr:to>
      <xdr:col>43</xdr:col>
      <xdr:colOff>412750</xdr:colOff>
      <xdr:row>18</xdr:row>
      <xdr:rowOff>139700</xdr:rowOff>
    </xdr:to>
    <xdr:graphicFrame macro="">
      <xdr:nvGraphicFramePr>
        <xdr:cNvPr id="4" name="Chart 3">
          <a:extLst>
            <a:ext uri="{FF2B5EF4-FFF2-40B4-BE49-F238E27FC236}">
              <a16:creationId xmlns:a16="http://schemas.microsoft.com/office/drawing/2014/main" id="{B742A68B-5153-D944-9257-3CB60D7263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596900</xdr:colOff>
      <xdr:row>19</xdr:row>
      <xdr:rowOff>76200</xdr:rowOff>
    </xdr:from>
    <xdr:to>
      <xdr:col>42</xdr:col>
      <xdr:colOff>215900</xdr:colOff>
      <xdr:row>34</xdr:row>
      <xdr:rowOff>177800</xdr:rowOff>
    </xdr:to>
    <mc:AlternateContent xmlns:mc="http://schemas.openxmlformats.org/markup-compatibility/2006">
      <mc:Choice xmlns:cx1="http://schemas.microsoft.com/office/drawing/2015/9/8/chartex" Requires="cx1">
        <xdr:graphicFrame macro="">
          <xdr:nvGraphicFramePr>
            <xdr:cNvPr id="5" name="Chart 4">
              <a:extLst>
                <a:ext uri="{FF2B5EF4-FFF2-40B4-BE49-F238E27FC236}">
                  <a16:creationId xmlns:a16="http://schemas.microsoft.com/office/drawing/2014/main" id="{D6876439-6F14-2345-A094-2132221DA74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32512000" y="3886200"/>
              <a:ext cx="3657600" cy="31496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36</xdr:col>
      <xdr:colOff>215900</xdr:colOff>
      <xdr:row>35</xdr:row>
      <xdr:rowOff>152400</xdr:rowOff>
    </xdr:from>
    <xdr:to>
      <xdr:col>41</xdr:col>
      <xdr:colOff>508000</xdr:colOff>
      <xdr:row>49</xdr:row>
      <xdr:rowOff>50800</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59D017DB-5259-E74C-AC69-1C96D365316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32131000" y="7213600"/>
              <a:ext cx="3657600"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36</xdr:col>
      <xdr:colOff>241300</xdr:colOff>
      <xdr:row>50</xdr:row>
      <xdr:rowOff>50800</xdr:rowOff>
    </xdr:from>
    <xdr:to>
      <xdr:col>41</xdr:col>
      <xdr:colOff>533400</xdr:colOff>
      <xdr:row>65</xdr:row>
      <xdr:rowOff>0</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6014D189-13F1-D44B-95C0-893BD508E11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6"/>
            </a:graphicData>
          </a:graphic>
        </xdr:graphicFrame>
      </mc:Choice>
      <mc:Fallback>
        <xdr:sp macro="" textlink="">
          <xdr:nvSpPr>
            <xdr:cNvPr id="0" name=""/>
            <xdr:cNvSpPr>
              <a:spLocks noTextEdit="1"/>
            </xdr:cNvSpPr>
          </xdr:nvSpPr>
          <xdr:spPr>
            <a:xfrm>
              <a:off x="32156400" y="10160000"/>
              <a:ext cx="3657600" cy="29464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13</xdr:col>
      <xdr:colOff>452966</xdr:colOff>
      <xdr:row>92</xdr:row>
      <xdr:rowOff>76199</xdr:rowOff>
    </xdr:from>
    <xdr:to>
      <xdr:col>20</xdr:col>
      <xdr:colOff>76200</xdr:colOff>
      <xdr:row>106</xdr:row>
      <xdr:rowOff>152399</xdr:rowOff>
    </xdr:to>
    <xdr:graphicFrame macro="">
      <xdr:nvGraphicFramePr>
        <xdr:cNvPr id="8" name="Chart 7">
          <a:extLst>
            <a:ext uri="{FF2B5EF4-FFF2-40B4-BE49-F238E27FC236}">
              <a16:creationId xmlns:a16="http://schemas.microsoft.com/office/drawing/2014/main" id="{3737A73F-48C1-3F4C-B30C-54EF3E63F1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41</xdr:col>
      <xdr:colOff>349250</xdr:colOff>
      <xdr:row>36</xdr:row>
      <xdr:rowOff>133350</xdr:rowOff>
    </xdr:from>
    <xdr:to>
      <xdr:col>48</xdr:col>
      <xdr:colOff>209550</xdr:colOff>
      <xdr:row>50</xdr:row>
      <xdr:rowOff>31750</xdr:rowOff>
    </xdr:to>
    <xdr:graphicFrame macro="">
      <xdr:nvGraphicFramePr>
        <xdr:cNvPr id="9" name="Chart 8">
          <a:extLst>
            <a:ext uri="{FF2B5EF4-FFF2-40B4-BE49-F238E27FC236}">
              <a16:creationId xmlns:a16="http://schemas.microsoft.com/office/drawing/2014/main" id="{5BEC4C1D-1016-0A47-BAC3-918C4C439CC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0.53168</cdr:x>
      <cdr:y>0.46887</cdr:y>
    </cdr:from>
    <cdr:to>
      <cdr:x>0.95205</cdr:x>
      <cdr:y>0.835</cdr:y>
    </cdr:to>
    <mc:AlternateContent xmlns:mc="http://schemas.openxmlformats.org/markup-compatibility/2006" xmlns:a14="http://schemas.microsoft.com/office/drawing/2010/main">
      <mc:Choice Requires="a14">
        <cdr:sp macro="" textlink="">
          <cdr:nvSpPr>
            <cdr:cNvPr id="2" name="TextBox 1">
              <a:extLst xmlns:a="http://schemas.openxmlformats.org/drawingml/2006/main">
                <a:ext uri="{FF2B5EF4-FFF2-40B4-BE49-F238E27FC236}">
                  <a16:creationId xmlns:a16="http://schemas.microsoft.com/office/drawing/2014/main" id="{31A10CC8-9040-2E4F-B43A-10A8651006E0}"/>
                </a:ext>
              </a:extLst>
            </cdr:cNvPr>
            <cdr:cNvSpPr txBox="1"/>
          </cdr:nvSpPr>
          <cdr:spPr>
            <a:xfrm xmlns:a="http://schemas.openxmlformats.org/drawingml/2006/main">
              <a:off x="2635653" y="1729567"/>
              <a:ext cx="2083872" cy="13505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14:m>
                <m:oMathPara xmlns:m="http://schemas.openxmlformats.org/officeDocument/2006/math">
                  <m:oMathParaPr>
                    <m:jc m:val="centerGroup"/>
                  </m:oMathParaPr>
                  <m:oMath xmlns:m="http://schemas.openxmlformats.org/officeDocument/2006/math">
                    <m:r>
                      <a:rPr lang="en-US" sz="1100" i="1">
                        <a:effectLst/>
                        <a:latin typeface="Cambria Math" panose="02040503050406030204" pitchFamily="18" charset="0"/>
                        <a:ea typeface="+mn-ea"/>
                        <a:cs typeface="+mn-cs"/>
                      </a:rPr>
                      <m:t>𝑘</m:t>
                    </m:r>
                    <m:r>
                      <a:rPr lang="en-AU" sz="1100" i="1">
                        <a:effectLst/>
                        <a:latin typeface="Cambria Math" panose="02040503050406030204" pitchFamily="18" charset="0"/>
                        <a:ea typeface="+mn-ea"/>
                        <a:cs typeface="+mn-cs"/>
                      </a:rPr>
                      <m:t>=</m:t>
                    </m:r>
                    <m:r>
                      <a:rPr lang="en-US" sz="1100" i="1">
                        <a:effectLst/>
                        <a:latin typeface="Cambria Math" panose="02040503050406030204" pitchFamily="18" charset="0"/>
                        <a:ea typeface="+mn-ea"/>
                        <a:cs typeface="+mn-cs"/>
                      </a:rPr>
                      <m:t>1+</m:t>
                    </m:r>
                    <m:r>
                      <a:rPr lang="en-US" sz="1100" i="1">
                        <a:effectLst/>
                        <a:latin typeface="Cambria Math" panose="02040503050406030204" pitchFamily="18" charset="0"/>
                        <a:ea typeface="+mn-ea"/>
                        <a:cs typeface="+mn-cs"/>
                      </a:rPr>
                      <m:t>𝐶𝑊𝐼</m:t>
                    </m:r>
                    <m:r>
                      <a:rPr lang="en-US" sz="1100" i="1">
                        <a:effectLst/>
                        <a:latin typeface="Cambria Math" panose="02040503050406030204" pitchFamily="18" charset="0"/>
                        <a:ea typeface="+mn-ea"/>
                        <a:cs typeface="+mn-cs"/>
                      </a:rPr>
                      <m:t>−</m:t>
                    </m:r>
                    <m:sSup>
                      <m:sSupPr>
                        <m:ctrlPr>
                          <a:rPr lang="en-AU" sz="1100" i="1">
                            <a:effectLst/>
                            <a:latin typeface="Cambria Math" panose="02040503050406030204" pitchFamily="18" charset="0"/>
                            <a:ea typeface="+mn-ea"/>
                            <a:cs typeface="+mn-cs"/>
                          </a:rPr>
                        </m:ctrlPr>
                      </m:sSupPr>
                      <m:e>
                        <m:d>
                          <m:dPr>
                            <m:ctrlPr>
                              <a:rPr lang="en-AU" sz="1100" i="1">
                                <a:effectLst/>
                                <a:latin typeface="Cambria Math" panose="02040503050406030204" pitchFamily="18" charset="0"/>
                                <a:ea typeface="+mn-ea"/>
                                <a:cs typeface="+mn-cs"/>
                              </a:rPr>
                            </m:ctrlPr>
                          </m:dPr>
                          <m:e>
                            <m:r>
                              <a:rPr lang="en-US" sz="1100" i="1">
                                <a:effectLst/>
                                <a:latin typeface="Cambria Math" panose="02040503050406030204" pitchFamily="18" charset="0"/>
                                <a:ea typeface="+mn-ea"/>
                                <a:cs typeface="+mn-cs"/>
                              </a:rPr>
                              <m:t>1+</m:t>
                            </m:r>
                            <m:sSup>
                              <m:sSupPr>
                                <m:ctrlPr>
                                  <a:rPr lang="en-AU" sz="1100" i="1">
                                    <a:effectLst/>
                                    <a:latin typeface="Cambria Math" panose="02040503050406030204" pitchFamily="18" charset="0"/>
                                    <a:ea typeface="+mn-ea"/>
                                    <a:cs typeface="+mn-cs"/>
                                  </a:rPr>
                                </m:ctrlPr>
                              </m:sSupPr>
                              <m:e>
                                <m:r>
                                  <a:rPr lang="en-US" sz="1100" i="1">
                                    <a:effectLst/>
                                    <a:latin typeface="Cambria Math" panose="02040503050406030204" pitchFamily="18" charset="0"/>
                                    <a:ea typeface="+mn-ea"/>
                                    <a:cs typeface="+mn-cs"/>
                                  </a:rPr>
                                  <m:t>𝐶𝑊𝐼</m:t>
                                </m:r>
                              </m:e>
                              <m:sup>
                                <m:r>
                                  <a:rPr lang="en-US" sz="1100" i="1">
                                    <a:effectLst/>
                                    <a:latin typeface="Cambria Math" panose="02040503050406030204" pitchFamily="18" charset="0"/>
                                    <a:ea typeface="+mn-ea"/>
                                    <a:cs typeface="+mn-cs"/>
                                  </a:rPr>
                                  <m:t>𝑐</m:t>
                                </m:r>
                              </m:sup>
                            </m:sSup>
                          </m:e>
                        </m:d>
                      </m:e>
                      <m:sup>
                        <m:f>
                          <m:fPr>
                            <m:ctrlPr>
                              <a:rPr lang="en-AU" sz="1100" i="1">
                                <a:effectLst/>
                                <a:latin typeface="Cambria Math" panose="02040503050406030204" pitchFamily="18" charset="0"/>
                                <a:ea typeface="+mn-ea"/>
                                <a:cs typeface="+mn-cs"/>
                              </a:rPr>
                            </m:ctrlPr>
                          </m:fPr>
                          <m:num>
                            <m:r>
                              <a:rPr lang="en-US" sz="1100" i="1">
                                <a:effectLst/>
                                <a:latin typeface="Cambria Math" panose="02040503050406030204" pitchFamily="18" charset="0"/>
                                <a:ea typeface="+mn-ea"/>
                                <a:cs typeface="+mn-cs"/>
                              </a:rPr>
                              <m:t>1</m:t>
                            </m:r>
                          </m:num>
                          <m:den>
                            <m:r>
                              <a:rPr lang="en-US" sz="1100" i="1">
                                <a:effectLst/>
                                <a:latin typeface="Cambria Math" panose="02040503050406030204" pitchFamily="18" charset="0"/>
                                <a:ea typeface="+mn-ea"/>
                                <a:cs typeface="+mn-cs"/>
                              </a:rPr>
                              <m:t>𝑐</m:t>
                            </m:r>
                          </m:den>
                        </m:f>
                      </m:sup>
                    </m:sSup>
                  </m:oMath>
                </m:oMathPara>
              </a14:m>
              <a:endParaRPr lang="en-AU">
                <a:effectLst/>
              </a:endParaRPr>
            </a:p>
            <a:p xmlns:a="http://schemas.openxmlformats.org/drawingml/2006/main">
              <a:r>
                <a:rPr lang="en-AU">
                  <a:effectLst/>
                </a:rPr>
                <a:t>All Data, 	c = 2.74, R</a:t>
              </a:r>
              <a:r>
                <a:rPr lang="en-AU" baseline="18000">
                  <a:effectLst/>
                </a:rPr>
                <a:t>2</a:t>
              </a:r>
              <a:r>
                <a:rPr lang="en-AU">
                  <a:effectLst/>
                </a:rPr>
                <a:t> = 0.69</a:t>
              </a:r>
            </a:p>
            <a:p xmlns:a="http://schemas.openxmlformats.org/drawingml/2006/main">
              <a:r>
                <a:rPr lang="en-AU" sz="1100">
                  <a:effectLst/>
                </a:rPr>
                <a:t>Eucalyptus	c = 2.84,</a:t>
              </a:r>
              <a:r>
                <a:rPr lang="en-AU" sz="1100" baseline="0">
                  <a:effectLst/>
                </a:rPr>
                <a:t> </a:t>
              </a:r>
              <a:r>
                <a:rPr lang="en-AU">
                  <a:effectLst/>
                </a:rPr>
                <a:t>R</a:t>
              </a:r>
              <a:r>
                <a:rPr lang="en-AU" baseline="18000">
                  <a:effectLst/>
                </a:rPr>
                <a:t>2</a:t>
              </a:r>
              <a:r>
                <a:rPr lang="en-AU">
                  <a:effectLst/>
                </a:rPr>
                <a:t> = 0.66</a:t>
              </a:r>
            </a:p>
            <a:p xmlns:a="http://schemas.openxmlformats.org/drawingml/2006/main">
              <a:r>
                <a:rPr lang="en-AU" sz="1100">
                  <a:effectLst/>
                </a:rPr>
                <a:t>Pinus 	c = 2.64,</a:t>
              </a:r>
              <a:r>
                <a:rPr lang="en-AU" sz="1100" baseline="0">
                  <a:effectLst/>
                </a:rPr>
                <a:t> </a:t>
              </a:r>
              <a:r>
                <a:rPr lang="en-AU">
                  <a:effectLst/>
                </a:rPr>
                <a:t>R</a:t>
              </a:r>
              <a:r>
                <a:rPr lang="en-AU" baseline="18000">
                  <a:effectLst/>
                </a:rPr>
                <a:t>2</a:t>
              </a:r>
              <a:r>
                <a:rPr lang="en-AU">
                  <a:effectLst/>
                </a:rPr>
                <a:t> = 0.63</a:t>
              </a:r>
            </a:p>
            <a:p xmlns:a="http://schemas.openxmlformats.org/drawingml/2006/main">
              <a:endParaRPr lang="en-AU" sz="1100">
                <a:effectLst/>
              </a:endParaRPr>
            </a:p>
            <a:p xmlns:a="http://schemas.openxmlformats.org/drawingml/2006/main">
              <a:r>
                <a:rPr lang="en-AU" sz="1100">
                  <a:effectLst/>
                </a:rPr>
                <a:t>ANCOVA</a:t>
              </a:r>
              <a:r>
                <a:rPr lang="en-AU" sz="1100" baseline="0">
                  <a:effectLst/>
                </a:rPr>
                <a:t> Pine v Euc, p = 0.24</a:t>
              </a:r>
              <a:endParaRPr lang="en-GB" sz="1100"/>
            </a:p>
          </cdr:txBody>
        </cdr:sp>
      </mc:Choice>
      <mc:Fallback xmlns="">
        <cdr:sp macro="" textlink="">
          <cdr:nvSpPr>
            <cdr:cNvPr id="2" name="TextBox 1">
              <a:extLst xmlns:a="http://schemas.openxmlformats.org/drawingml/2006/main">
                <a:ext uri="{FF2B5EF4-FFF2-40B4-BE49-F238E27FC236}">
                  <a16:creationId xmlns:a16="http://schemas.microsoft.com/office/drawing/2014/main" id="{31A10CC8-9040-2E4F-B43A-10A8651006E0}"/>
                </a:ext>
              </a:extLst>
            </cdr:cNvPr>
            <cdr:cNvSpPr txBox="1"/>
          </cdr:nvSpPr>
          <cdr:spPr>
            <a:xfrm xmlns:a="http://schemas.openxmlformats.org/drawingml/2006/main">
              <a:off x="2635653" y="1729567"/>
              <a:ext cx="2083872" cy="13505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r>
                <a:rPr lang="en-US" sz="1100" i="0">
                  <a:effectLst/>
                  <a:latin typeface="Cambria Math" panose="02040503050406030204" pitchFamily="18" charset="0"/>
                  <a:ea typeface="+mn-ea"/>
                  <a:cs typeface="+mn-cs"/>
                </a:rPr>
                <a:t>𝑘</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1+𝐶𝑊𝐼−</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1+</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𝐶𝑊𝐼</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𝑐 )</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1</a:t>
              </a:r>
              <a:r>
                <a:rPr lang="en-AU" sz="1100" i="0">
                  <a:effectLst/>
                  <a:latin typeface="Cambria Math" panose="02040503050406030204" pitchFamily="18" charset="0"/>
                  <a:ea typeface="+mn-ea"/>
                  <a:cs typeface="+mn-cs"/>
                </a:rPr>
                <a:t>/</a:t>
              </a:r>
              <a:r>
                <a:rPr lang="en-US" sz="1100" i="0">
                  <a:effectLst/>
                  <a:latin typeface="Cambria Math" panose="02040503050406030204" pitchFamily="18" charset="0"/>
                  <a:ea typeface="+mn-ea"/>
                  <a:cs typeface="+mn-cs"/>
                </a:rPr>
                <a:t>𝑐</a:t>
              </a:r>
              <a:r>
                <a:rPr lang="en-AU" sz="1100" i="0">
                  <a:effectLst/>
                  <a:latin typeface="Cambria Math" panose="02040503050406030204" pitchFamily="18" charset="0"/>
                  <a:ea typeface="+mn-ea"/>
                  <a:cs typeface="+mn-cs"/>
                </a:rPr>
                <a:t>)</a:t>
              </a:r>
              <a:endParaRPr lang="en-AU">
                <a:effectLst/>
              </a:endParaRPr>
            </a:p>
            <a:p xmlns:a="http://schemas.openxmlformats.org/drawingml/2006/main">
              <a:r>
                <a:rPr lang="en-AU">
                  <a:effectLst/>
                </a:rPr>
                <a:t>All Data, 	c = 2.74, R</a:t>
              </a:r>
              <a:r>
                <a:rPr lang="en-AU" baseline="18000">
                  <a:effectLst/>
                </a:rPr>
                <a:t>2</a:t>
              </a:r>
              <a:r>
                <a:rPr lang="en-AU">
                  <a:effectLst/>
                </a:rPr>
                <a:t> = 0.69</a:t>
              </a:r>
            </a:p>
            <a:p xmlns:a="http://schemas.openxmlformats.org/drawingml/2006/main">
              <a:r>
                <a:rPr lang="en-AU" sz="1100">
                  <a:effectLst/>
                </a:rPr>
                <a:t>Eucalyptus	c = 2.84,</a:t>
              </a:r>
              <a:r>
                <a:rPr lang="en-AU" sz="1100" baseline="0">
                  <a:effectLst/>
                </a:rPr>
                <a:t> </a:t>
              </a:r>
              <a:r>
                <a:rPr lang="en-AU">
                  <a:effectLst/>
                </a:rPr>
                <a:t>R</a:t>
              </a:r>
              <a:r>
                <a:rPr lang="en-AU" baseline="18000">
                  <a:effectLst/>
                </a:rPr>
                <a:t>2</a:t>
              </a:r>
              <a:r>
                <a:rPr lang="en-AU">
                  <a:effectLst/>
                </a:rPr>
                <a:t> = 0.66</a:t>
              </a:r>
            </a:p>
            <a:p xmlns:a="http://schemas.openxmlformats.org/drawingml/2006/main">
              <a:r>
                <a:rPr lang="en-AU" sz="1100">
                  <a:effectLst/>
                </a:rPr>
                <a:t>Pinus 	c = 2.64,</a:t>
              </a:r>
              <a:r>
                <a:rPr lang="en-AU" sz="1100" baseline="0">
                  <a:effectLst/>
                </a:rPr>
                <a:t> </a:t>
              </a:r>
              <a:r>
                <a:rPr lang="en-AU">
                  <a:effectLst/>
                </a:rPr>
                <a:t>R</a:t>
              </a:r>
              <a:r>
                <a:rPr lang="en-AU" baseline="18000">
                  <a:effectLst/>
                </a:rPr>
                <a:t>2</a:t>
              </a:r>
              <a:r>
                <a:rPr lang="en-AU">
                  <a:effectLst/>
                </a:rPr>
                <a:t> = 0.63</a:t>
              </a:r>
            </a:p>
            <a:p xmlns:a="http://schemas.openxmlformats.org/drawingml/2006/main">
              <a:endParaRPr lang="en-AU" sz="1100">
                <a:effectLst/>
              </a:endParaRPr>
            </a:p>
            <a:p xmlns:a="http://schemas.openxmlformats.org/drawingml/2006/main">
              <a:r>
                <a:rPr lang="en-AU" sz="1100">
                  <a:effectLst/>
                </a:rPr>
                <a:t>ANCOVA</a:t>
              </a:r>
              <a:r>
                <a:rPr lang="en-AU" sz="1100" baseline="0">
                  <a:effectLst/>
                </a:rPr>
                <a:t> Pine v Euc, p = 0.24</a:t>
              </a:r>
              <a:endParaRPr lang="en-GB" sz="1100"/>
            </a:p>
          </cdr:txBody>
        </cdr:sp>
      </mc:Fallback>
    </mc:AlternateContent>
  </cdr:relSizeAnchor>
</c:userShapes>
</file>

<file path=xl/drawings/drawing3.xml><?xml version="1.0" encoding="utf-8"?>
<xdr:wsDr xmlns:xdr="http://schemas.openxmlformats.org/drawingml/2006/spreadsheetDrawing" xmlns:a="http://schemas.openxmlformats.org/drawingml/2006/main">
  <xdr:twoCellAnchor>
    <xdr:from>
      <xdr:col>35</xdr:col>
      <xdr:colOff>175684</xdr:colOff>
      <xdr:row>96</xdr:row>
      <xdr:rowOff>12700</xdr:rowOff>
    </xdr:from>
    <xdr:to>
      <xdr:col>42</xdr:col>
      <xdr:colOff>203201</xdr:colOff>
      <xdr:row>114</xdr:row>
      <xdr:rowOff>160867</xdr:rowOff>
    </xdr:to>
    <xdr:graphicFrame macro="">
      <xdr:nvGraphicFramePr>
        <xdr:cNvPr id="3" name="Chart 2">
          <a:extLst>
            <a:ext uri="{FF2B5EF4-FFF2-40B4-BE49-F238E27FC236}">
              <a16:creationId xmlns:a16="http://schemas.microsoft.com/office/drawing/2014/main" id="{E8C0F2B3-C5B4-4060-8F25-3DAEB345A7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452966</xdr:colOff>
      <xdr:row>97</xdr:row>
      <xdr:rowOff>76199</xdr:rowOff>
    </xdr:from>
    <xdr:to>
      <xdr:col>20</xdr:col>
      <xdr:colOff>76200</xdr:colOff>
      <xdr:row>111</xdr:row>
      <xdr:rowOff>152399</xdr:rowOff>
    </xdr:to>
    <xdr:graphicFrame macro="">
      <xdr:nvGraphicFramePr>
        <xdr:cNvPr id="8" name="Chart 7">
          <a:extLst>
            <a:ext uri="{FF2B5EF4-FFF2-40B4-BE49-F238E27FC236}">
              <a16:creationId xmlns:a16="http://schemas.microsoft.com/office/drawing/2014/main" id="{F5083961-51C1-4712-BEBE-3E41F3FDAD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26</xdr:col>
      <xdr:colOff>57150</xdr:colOff>
      <xdr:row>68</xdr:row>
      <xdr:rowOff>28581</xdr:rowOff>
    </xdr:from>
    <xdr:to>
      <xdr:col>31</xdr:col>
      <xdr:colOff>704850</xdr:colOff>
      <xdr:row>82</xdr:row>
      <xdr:rowOff>104781</xdr:rowOff>
    </xdr:to>
    <xdr:graphicFrame macro="">
      <xdr:nvGraphicFramePr>
        <xdr:cNvPr id="10" name="Chart 9">
          <a:extLst>
            <a:ext uri="{FF2B5EF4-FFF2-40B4-BE49-F238E27FC236}">
              <a16:creationId xmlns:a16="http://schemas.microsoft.com/office/drawing/2014/main" id="{90594B48-DB4F-4E3F-9D5F-9FB8A25745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29</xdr:col>
      <xdr:colOff>35344</xdr:colOff>
      <xdr:row>77</xdr:row>
      <xdr:rowOff>61763</xdr:rowOff>
    </xdr:from>
    <xdr:ext cx="1564467" cy="264560"/>
    <xdr:sp macro="" textlink="">
      <xdr:nvSpPr>
        <xdr:cNvPr id="11" name="TextBox 10">
          <a:extLst>
            <a:ext uri="{FF2B5EF4-FFF2-40B4-BE49-F238E27FC236}">
              <a16:creationId xmlns:a16="http://schemas.microsoft.com/office/drawing/2014/main" id="{4376FA48-8AD9-42A6-8FA9-63ACEFBF710B}"/>
            </a:ext>
          </a:extLst>
        </xdr:cNvPr>
        <xdr:cNvSpPr txBox="1"/>
      </xdr:nvSpPr>
      <xdr:spPr>
        <a:xfrm>
          <a:off x="25842702" y="14546952"/>
          <a:ext cx="156446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1100"/>
            <a:t>ET=978.5-11060e</a:t>
          </a:r>
          <a:r>
            <a:rPr lang="en-AU" sz="1100" baseline="30000"/>
            <a:t>-0.00804P</a:t>
          </a:r>
        </a:p>
      </xdr:txBody>
    </xdr:sp>
    <xdr:clientData/>
  </xdr:oneCellAnchor>
  <xdr:twoCellAnchor>
    <xdr:from>
      <xdr:col>26</xdr:col>
      <xdr:colOff>72127</xdr:colOff>
      <xdr:row>82</xdr:row>
      <xdr:rowOff>163371</xdr:rowOff>
    </xdr:from>
    <xdr:to>
      <xdr:col>31</xdr:col>
      <xdr:colOff>719827</xdr:colOff>
      <xdr:row>97</xdr:row>
      <xdr:rowOff>32896</xdr:rowOff>
    </xdr:to>
    <xdr:graphicFrame macro="">
      <xdr:nvGraphicFramePr>
        <xdr:cNvPr id="12" name="Chart 11">
          <a:extLst>
            <a:ext uri="{FF2B5EF4-FFF2-40B4-BE49-F238E27FC236}">
              <a16:creationId xmlns:a16="http://schemas.microsoft.com/office/drawing/2014/main" id="{4632C702-2037-40E5-A583-FD8EC312EA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41189</xdr:colOff>
      <xdr:row>0</xdr:row>
      <xdr:rowOff>68649</xdr:rowOff>
    </xdr:from>
    <xdr:to>
      <xdr:col>6</xdr:col>
      <xdr:colOff>13730</xdr:colOff>
      <xdr:row>5</xdr:row>
      <xdr:rowOff>116703</xdr:rowOff>
    </xdr:to>
    <xdr:sp macro="" textlink="">
      <xdr:nvSpPr>
        <xdr:cNvPr id="13" name="TextBox 12">
          <a:extLst>
            <a:ext uri="{FF2B5EF4-FFF2-40B4-BE49-F238E27FC236}">
              <a16:creationId xmlns:a16="http://schemas.microsoft.com/office/drawing/2014/main" id="{D3A34363-7280-98E2-A047-10671886FE4B}"/>
            </a:ext>
          </a:extLst>
        </xdr:cNvPr>
        <xdr:cNvSpPr txBox="1"/>
      </xdr:nvSpPr>
      <xdr:spPr>
        <a:xfrm>
          <a:off x="41189" y="68649"/>
          <a:ext cx="4798541" cy="10091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sheet is a copy</a:t>
          </a:r>
          <a:r>
            <a:rPr lang="en-US" sz="1100" baseline="0"/>
            <a:t> of the first sheet but included all of the additional analysis requested by Dr Michael Ryan of Colorado State University. It includes an additional two figures that were not added to the paper and esults showing that neither measurement  method nor species within genus affected model parameters</a:t>
          </a:r>
          <a:endParaRPr lang="en-US" sz="1100"/>
        </a:p>
      </xdr:txBody>
    </xdr:sp>
    <xdr:clientData/>
  </xdr:twoCellAnchor>
  <xdr:twoCellAnchor>
    <xdr:from>
      <xdr:col>6</xdr:col>
      <xdr:colOff>41189</xdr:colOff>
      <xdr:row>68</xdr:row>
      <xdr:rowOff>13730</xdr:rowOff>
    </xdr:from>
    <xdr:to>
      <xdr:col>6</xdr:col>
      <xdr:colOff>4036541</xdr:colOff>
      <xdr:row>76</xdr:row>
      <xdr:rowOff>20595</xdr:rowOff>
    </xdr:to>
    <xdr:sp macro="" textlink="">
      <xdr:nvSpPr>
        <xdr:cNvPr id="14" name="TextBox 13">
          <a:extLst>
            <a:ext uri="{FF2B5EF4-FFF2-40B4-BE49-F238E27FC236}">
              <a16:creationId xmlns:a16="http://schemas.microsoft.com/office/drawing/2014/main" id="{789A97BD-00B6-5EE8-19DF-E6D01F4B2DAA}"/>
            </a:ext>
          </a:extLst>
        </xdr:cNvPr>
        <xdr:cNvSpPr txBox="1"/>
      </xdr:nvSpPr>
      <xdr:spPr>
        <a:xfrm>
          <a:off x="4867189" y="13867027"/>
          <a:ext cx="3995352" cy="15445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section to the left is the fitting</a:t>
          </a:r>
          <a:r>
            <a:rPr lang="en-US" sz="1100" baseline="0"/>
            <a:t> of Model 2 ro the data in columns Y and X above testing for an effect of genus on the three model parameters. results in Table 3 of the paper</a:t>
          </a:r>
          <a:endParaRPr lang="en-US" sz="1100"/>
        </a:p>
      </xdr:txBody>
    </xdr:sp>
    <xdr:clientData/>
  </xdr:twoCellAnchor>
  <xdr:twoCellAnchor>
    <xdr:from>
      <xdr:col>6</xdr:col>
      <xdr:colOff>0</xdr:colOff>
      <xdr:row>157</xdr:row>
      <xdr:rowOff>0</xdr:rowOff>
    </xdr:from>
    <xdr:to>
      <xdr:col>6</xdr:col>
      <xdr:colOff>3995352</xdr:colOff>
      <xdr:row>165</xdr:row>
      <xdr:rowOff>6865</xdr:rowOff>
    </xdr:to>
    <xdr:sp macro="" textlink="">
      <xdr:nvSpPr>
        <xdr:cNvPr id="15" name="TextBox 14">
          <a:extLst>
            <a:ext uri="{FF2B5EF4-FFF2-40B4-BE49-F238E27FC236}">
              <a16:creationId xmlns:a16="http://schemas.microsoft.com/office/drawing/2014/main" id="{098392B0-9DBD-B64D-A432-DA7E60C8A4BE}"/>
            </a:ext>
          </a:extLst>
        </xdr:cNvPr>
        <xdr:cNvSpPr txBox="1"/>
      </xdr:nvSpPr>
      <xdr:spPr>
        <a:xfrm>
          <a:off x="4826000" y="30981135"/>
          <a:ext cx="3995352" cy="15445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section to the left is the fitting</a:t>
          </a:r>
          <a:r>
            <a:rPr lang="en-US" sz="1100" baseline="0"/>
            <a:t> of Model 3 to the data in columns AA and X above testing for an effect of genus on the three model parameters. Results in Table 3 of the paper.</a:t>
          </a:r>
        </a:p>
        <a:p>
          <a:endParaRPr lang="en-US" sz="1100" baseline="0"/>
        </a:p>
        <a:p>
          <a:r>
            <a:rPr lang="en-US" sz="1100" baseline="0"/>
            <a:t>Note this also included a test for the effect of measurement method on the model parameters as suggested by Reviewer 1</a:t>
          </a:r>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Donald White" id="{85FEC5EC-2967-A94E-939E-BF72B7B9DB2B}" userId="fcd919b645df3393"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AE1" dT="2022-09-16T05:17:04.44" personId="{85FEC5EC-2967-A94E-939E-BF72B7B9DB2B}" id="{7705E3C0-E028-CE42-9F3E-778C2423F59C}">
    <text>Calculation od R2 values for Model 1</text>
  </threadedComment>
  <threadedComment ref="AD17" dT="2020-03-14T16:56:50.22" personId="{85FEC5EC-2967-A94E-939E-BF72B7B9DB2B}" id="{1E57332E-3DBA-0244-B0D0-0D66ECD27F08}">
    <text>Actual Description is very deep</text>
  </threadedComment>
  <threadedComment ref="R62" dT="2022-09-16T03:22:55.16" personId="{85FEC5EC-2967-A94E-939E-BF72B7B9DB2B}" id="{93D8027A-F9D3-274B-81E9-DB7701692724}">
    <text>These Data were used in the main paper figure and are calculated using the parameters d=from the analysis shown lower left</text>
  </threadedComment>
</ThreadedComments>
</file>

<file path=xl/threadedComments/threadedComment2.xml><?xml version="1.0" encoding="utf-8"?>
<ThreadedComments xmlns="http://schemas.microsoft.com/office/spreadsheetml/2018/threadedcomments" xmlns:x="http://schemas.openxmlformats.org/spreadsheetml/2006/main">
  <threadedComment ref="AD22" dT="2020-03-14T16:56:50.22" personId="{85FEC5EC-2967-A94E-939E-BF72B7B9DB2B}" id="{3626A817-4ED6-46F4-8E10-57217475A6AE}">
    <text>Actual Description is very deep</text>
  </threadedComment>
  <threadedComment ref="AG69" dT="2022-09-16T05:15:22.81" personId="{85FEC5EC-2967-A94E-939E-BF72B7B9DB2B}" id="{E4B7A3EC-C260-6145-A6D3-627C060ABC95}">
    <text>Model 2 - used to produce graph</text>
  </threadedComment>
  <threadedComment ref="AC98" dT="2022-09-16T05:16:15.84" personId="{85FEC5EC-2967-A94E-939E-BF72B7B9DB2B}" id="{D30F4505-F9C6-1E4C-8D17-4C336F47213D}">
    <text xml:space="preserve">Model 3 </text>
  </threadedComment>
</ThreadedComments>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www.hydroshare.org/resource/4b517deaa07243aa8c46a58646dd4281" TargetMode="External"/><Relationship Id="rId7" Type="http://schemas.openxmlformats.org/officeDocument/2006/relationships/vmlDrawing" Target="../drawings/vmlDrawing1.vml"/><Relationship Id="rId2" Type="http://schemas.openxmlformats.org/officeDocument/2006/relationships/hyperlink" Target="http://www.hydroshare.org/resource/4b517deaa07243aa8c46a58646dd4281" TargetMode="External"/><Relationship Id="rId1" Type="http://schemas.openxmlformats.org/officeDocument/2006/relationships/hyperlink" Target="http://www.hydroshare.org/resource/4b517deaa07243aa8c46a58646dd4281"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hydroshare.org/resource/4b517deaa07243aa8c46a58646dd4281" TargetMode="External"/><Relationship Id="rId9"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www.hydroshare.org/resource/4b517deaa07243aa8c46a58646dd4281" TargetMode="External"/><Relationship Id="rId7" Type="http://schemas.openxmlformats.org/officeDocument/2006/relationships/vmlDrawing" Target="../drawings/vmlDrawing2.vml"/><Relationship Id="rId2" Type="http://schemas.openxmlformats.org/officeDocument/2006/relationships/hyperlink" Target="http://www.hydroshare.org/resource/4b517deaa07243aa8c46a58646dd4281" TargetMode="External"/><Relationship Id="rId1" Type="http://schemas.openxmlformats.org/officeDocument/2006/relationships/hyperlink" Target="http://www.hydroshare.org/resource/4b517deaa07243aa8c46a58646dd4281" TargetMode="External"/><Relationship Id="rId6" Type="http://schemas.openxmlformats.org/officeDocument/2006/relationships/drawing" Target="../drawings/drawing3.xml"/><Relationship Id="rId5" Type="http://schemas.openxmlformats.org/officeDocument/2006/relationships/printerSettings" Target="../printerSettings/printerSettings2.bin"/><Relationship Id="rId4" Type="http://schemas.openxmlformats.org/officeDocument/2006/relationships/hyperlink" Target="http://www.hydroshare.org/resource/4b517deaa07243aa8c46a58646dd4281" TargetMode="External"/><Relationship Id="rId9"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21F54-C2EE-5343-8696-AFBC0103D534}">
  <dimension ref="A1:BE101"/>
  <sheetViews>
    <sheetView tabSelected="1" workbookViewId="0">
      <pane xSplit="5" ySplit="4" topLeftCell="F5" activePane="bottomRight" state="frozen"/>
      <selection pane="topRight" activeCell="F1" sqref="F1"/>
      <selection pane="bottomLeft" activeCell="A5" sqref="A5"/>
      <selection pane="bottomRight" activeCell="AF10" sqref="AF10"/>
    </sheetView>
  </sheetViews>
  <sheetFormatPr baseColWidth="10" defaultColWidth="8.83203125" defaultRowHeight="15" x14ac:dyDescent="0.2"/>
  <cols>
    <col min="1" max="2" width="8.83203125" style="2"/>
    <col min="3" max="3" width="19.83203125" style="2" bestFit="1" customWidth="1"/>
    <col min="4" max="4" width="8.1640625" style="6" bestFit="1" customWidth="1"/>
    <col min="5" max="5" width="8.83203125" style="6" bestFit="1" customWidth="1"/>
    <col min="6" max="6" width="8.83203125" style="6" customWidth="1"/>
    <col min="7" max="7" width="76.5" style="2" customWidth="1"/>
    <col min="8" max="8" width="12" style="2" bestFit="1" customWidth="1"/>
    <col min="9" max="9" width="6.6640625" style="2" customWidth="1"/>
    <col min="10" max="10" width="12.1640625" style="16" bestFit="1" customWidth="1"/>
    <col min="11" max="11" width="6.6640625" style="16" customWidth="1"/>
    <col min="12" max="15" width="8.83203125" style="16"/>
    <col min="16" max="16" width="12" style="15" customWidth="1"/>
    <col min="17" max="20" width="8.83203125" style="16"/>
    <col min="21" max="26" width="8.83203125" style="36"/>
    <col min="27" max="29" width="8.83203125" style="2"/>
    <col min="30" max="30" width="8.83203125" style="36"/>
    <col min="31" max="31" width="16" style="2" bestFit="1" customWidth="1"/>
    <col min="32" max="32" width="12.83203125" style="2" bestFit="1" customWidth="1"/>
    <col min="33" max="33" width="12.1640625" style="2" bestFit="1" customWidth="1"/>
    <col min="34" max="34" width="11.83203125" style="2" bestFit="1" customWidth="1"/>
    <col min="35" max="16384" width="8.83203125" style="2"/>
  </cols>
  <sheetData>
    <row r="1" spans="1:48" x14ac:dyDescent="0.2">
      <c r="H1" s="3"/>
      <c r="I1" s="3"/>
      <c r="J1" s="41" t="s">
        <v>330</v>
      </c>
      <c r="K1" s="41"/>
      <c r="L1" s="41"/>
      <c r="U1" s="36" t="s">
        <v>331</v>
      </c>
      <c r="AE1" s="3" t="s">
        <v>144</v>
      </c>
      <c r="AG1" s="3" t="s">
        <v>145</v>
      </c>
      <c r="AI1" s="3" t="s">
        <v>187</v>
      </c>
    </row>
    <row r="2" spans="1:48" x14ac:dyDescent="0.2">
      <c r="U2" s="36" t="s">
        <v>28</v>
      </c>
      <c r="V2" s="36" t="s">
        <v>9</v>
      </c>
      <c r="W2" s="36" t="s">
        <v>18</v>
      </c>
      <c r="AE2" s="2" t="s">
        <v>333</v>
      </c>
      <c r="AF2" s="2" t="s">
        <v>143</v>
      </c>
      <c r="AG2" s="2" t="s">
        <v>332</v>
      </c>
      <c r="AH2" s="2" t="s">
        <v>146</v>
      </c>
      <c r="AI2" s="2" t="s">
        <v>332</v>
      </c>
      <c r="AJ2" s="2" t="s">
        <v>146</v>
      </c>
    </row>
    <row r="3" spans="1:48" x14ac:dyDescent="0.2">
      <c r="D3" s="6" t="s">
        <v>74</v>
      </c>
      <c r="J3" s="16" t="s">
        <v>323</v>
      </c>
      <c r="L3" s="41" t="s">
        <v>319</v>
      </c>
      <c r="P3" s="17" t="s">
        <v>325</v>
      </c>
      <c r="T3" s="16" t="s">
        <v>29</v>
      </c>
      <c r="U3" s="36">
        <v>2.74</v>
      </c>
      <c r="V3" s="36">
        <v>2.8420000000000001</v>
      </c>
      <c r="W3" s="36">
        <v>2.6379999999999999</v>
      </c>
      <c r="AE3" s="2">
        <f>AVERAGE(AA5:AA55)</f>
        <v>0.61875501075962591</v>
      </c>
      <c r="AF3" s="2">
        <f>SUM(AF5:AF61)/SUM((AE5:AE61))</f>
        <v>0.69370744709991516</v>
      </c>
      <c r="AG3" s="2">
        <f>AVERAGE(S5:S26)</f>
        <v>0.65611014875279428</v>
      </c>
      <c r="AH3" s="2">
        <f>SUM(AH5:AH61)/SUM((AG5:AG61))</f>
        <v>0.80039639241307148</v>
      </c>
      <c r="AI3" s="2">
        <f>AVERAGE(T32:T53)</f>
        <v>0.54170497995416234</v>
      </c>
      <c r="AJ3" s="2">
        <f>SUM(AJ5:AJ61)/SUM((AI5:AI61))</f>
        <v>0.62844979357142505</v>
      </c>
    </row>
    <row r="4" spans="1:48" x14ac:dyDescent="0.2">
      <c r="A4" s="2" t="s">
        <v>25</v>
      </c>
      <c r="B4" s="2" t="s">
        <v>47</v>
      </c>
      <c r="C4" s="2" t="s">
        <v>63</v>
      </c>
      <c r="D4" s="6" t="s">
        <v>72</v>
      </c>
      <c r="E4" s="6" t="s">
        <v>73</v>
      </c>
      <c r="F4" s="6" t="s">
        <v>194</v>
      </c>
      <c r="G4" s="2" t="s">
        <v>48</v>
      </c>
      <c r="H4" s="2" t="s">
        <v>0</v>
      </c>
      <c r="I4" s="2" t="s">
        <v>50</v>
      </c>
      <c r="J4" s="16" t="s">
        <v>51</v>
      </c>
      <c r="K4" s="16" t="s">
        <v>53</v>
      </c>
      <c r="L4" s="16" t="s">
        <v>1</v>
      </c>
      <c r="M4" s="16" t="s">
        <v>2</v>
      </c>
      <c r="N4" s="16" t="s">
        <v>168</v>
      </c>
      <c r="O4" s="16" t="s">
        <v>139</v>
      </c>
      <c r="P4" s="15" t="s">
        <v>1</v>
      </c>
      <c r="Q4" s="16" t="s">
        <v>2</v>
      </c>
      <c r="R4" s="16" t="s">
        <v>169</v>
      </c>
      <c r="S4" s="16" t="s">
        <v>326</v>
      </c>
      <c r="T4" s="16" t="s">
        <v>327</v>
      </c>
      <c r="U4" s="36" t="s">
        <v>324</v>
      </c>
      <c r="V4" s="36" t="s">
        <v>324</v>
      </c>
      <c r="W4" s="36" t="s">
        <v>324</v>
      </c>
      <c r="X4" s="36" t="s">
        <v>4</v>
      </c>
      <c r="Y4" s="36" t="s">
        <v>5</v>
      </c>
      <c r="Z4" s="36" t="s">
        <v>6</v>
      </c>
      <c r="AA4" s="2" t="s">
        <v>328</v>
      </c>
      <c r="AB4" s="2" t="s">
        <v>329</v>
      </c>
      <c r="AC4" s="2" t="s">
        <v>7</v>
      </c>
      <c r="AD4" s="36" t="s">
        <v>8</v>
      </c>
      <c r="AE4" s="2" t="s">
        <v>141</v>
      </c>
      <c r="AF4" s="2" t="s">
        <v>142</v>
      </c>
      <c r="AG4" s="2" t="s">
        <v>141</v>
      </c>
      <c r="AH4" s="2" t="s">
        <v>142</v>
      </c>
      <c r="AI4" s="2" t="s">
        <v>141</v>
      </c>
      <c r="AJ4" s="2" t="s">
        <v>142</v>
      </c>
      <c r="AL4" s="2" t="s">
        <v>160</v>
      </c>
    </row>
    <row r="5" spans="1:48" s="4" customFormat="1" ht="16" x14ac:dyDescent="0.2">
      <c r="A5" s="4" t="s">
        <v>9</v>
      </c>
      <c r="B5" s="4" t="s">
        <v>10</v>
      </c>
      <c r="C5" s="4" t="s">
        <v>64</v>
      </c>
      <c r="D5" s="8">
        <v>20.9</v>
      </c>
      <c r="E5" s="8">
        <v>109.86666666666666</v>
      </c>
      <c r="F5" s="8">
        <v>1</v>
      </c>
      <c r="G5" s="1" t="s">
        <v>54</v>
      </c>
      <c r="H5" s="4" t="s">
        <v>49</v>
      </c>
      <c r="I5" s="4">
        <v>1996</v>
      </c>
      <c r="J5" s="19">
        <v>2009</v>
      </c>
      <c r="K5" s="19">
        <v>2011</v>
      </c>
      <c r="L5" s="19">
        <v>2038.9833333333333</v>
      </c>
      <c r="M5" s="19">
        <v>1478.1596844061557</v>
      </c>
      <c r="N5" s="19">
        <f>L5/M5</f>
        <v>1.3794066736115091</v>
      </c>
      <c r="O5" s="19">
        <f>Y5/P5</f>
        <v>0.5181157764883263</v>
      </c>
      <c r="P5" s="18">
        <v>2188.7000000000003</v>
      </c>
      <c r="Q5" s="19">
        <v>1461.7014836713504</v>
      </c>
      <c r="R5" s="19">
        <f>P5/Q5</f>
        <v>1.4973645607190944</v>
      </c>
      <c r="S5" s="19">
        <f>IF(A5="Euc",AA5,NA())</f>
        <v>0.77580820206307533</v>
      </c>
      <c r="T5" s="19" t="e">
        <f t="shared" ref="T5:T55" si="0">IF(ISNA(S5),AA5,NA())</f>
        <v>#N/A</v>
      </c>
      <c r="U5" s="37">
        <f>1+$R5-(1+$R5^U$3)^(1/U$3)</f>
        <v>0.83537784773203239</v>
      </c>
      <c r="V5" s="37">
        <f t="shared" ref="V5:W20" si="1">1+$R5-(1+$R5^V$3)^(1/V$3)</f>
        <v>0.84744982511970623</v>
      </c>
      <c r="W5" s="37">
        <f t="shared" si="1"/>
        <v>0.82207234454509237</v>
      </c>
      <c r="X5" s="37">
        <v>1620</v>
      </c>
      <c r="Y5" s="37">
        <v>1134</v>
      </c>
      <c r="Z5" s="37">
        <v>533.5</v>
      </c>
      <c r="AA5" s="4">
        <f>Y5/Q5</f>
        <v>0.77580820206307533</v>
      </c>
      <c r="AB5" s="4">
        <f>V5</f>
        <v>0.84744982511970623</v>
      </c>
      <c r="AC5" s="4">
        <f>AA5-AB5</f>
        <v>-7.164162305663091E-2</v>
      </c>
      <c r="AD5" s="37">
        <v>3.5</v>
      </c>
      <c r="AE5" s="4">
        <f>(AA5-AE$3)^2</f>
        <v>2.4665704898597877E-2</v>
      </c>
      <c r="AF5" s="4">
        <f>(AB5-AE$3)^2</f>
        <v>5.2301318115191599E-2</v>
      </c>
      <c r="AG5" s="4">
        <f>(S5-AG$3)^2</f>
        <v>1.4327623966270884E-2</v>
      </c>
      <c r="AH5" s="4">
        <f>(V5-AG$3)^2</f>
        <v>3.6610871752194608E-2</v>
      </c>
    </row>
    <row r="6" spans="1:48" s="4" customFormat="1" ht="16" x14ac:dyDescent="0.2">
      <c r="A6" s="4" t="s">
        <v>9</v>
      </c>
      <c r="B6" s="4" t="s">
        <v>11</v>
      </c>
      <c r="C6" s="4" t="s">
        <v>64</v>
      </c>
      <c r="D6" s="8">
        <v>21.083333333333332</v>
      </c>
      <c r="E6" s="8">
        <v>109.9</v>
      </c>
      <c r="F6" s="8">
        <v>1</v>
      </c>
      <c r="G6" s="1" t="s">
        <v>54</v>
      </c>
      <c r="H6" s="4" t="s">
        <v>49</v>
      </c>
      <c r="I6" s="4">
        <v>1996</v>
      </c>
      <c r="J6" s="19">
        <v>2009</v>
      </c>
      <c r="K6" s="19">
        <v>2011</v>
      </c>
      <c r="L6" s="19">
        <v>1821.2666666666667</v>
      </c>
      <c r="M6" s="19">
        <v>1402.7070203036455</v>
      </c>
      <c r="N6" s="19">
        <f t="shared" ref="N6:N60" si="2">L6/M6</f>
        <v>1.2983942051365902</v>
      </c>
      <c r="O6" s="19">
        <f t="shared" ref="O6:O55" si="3">Y6/P6</f>
        <v>0.52626944009017729</v>
      </c>
      <c r="P6" s="18">
        <v>1892.5666666666668</v>
      </c>
      <c r="Q6" s="19">
        <v>1384.4173165855416</v>
      </c>
      <c r="R6" s="19">
        <f>P6/Q6</f>
        <v>1.3670492589145011</v>
      </c>
      <c r="S6" s="19">
        <f t="shared" ref="S6:S59" si="4">IF(A6="Euc",AA6,NA())</f>
        <v>0.71943624806462636</v>
      </c>
      <c r="T6" s="19" t="e">
        <f t="shared" si="0"/>
        <v>#N/A</v>
      </c>
      <c r="U6" s="37">
        <f t="shared" ref="U6:W61" si="5">1+$R6-(1+$R6^U$3)^(1/U$3)</f>
        <v>0.81153725517332731</v>
      </c>
      <c r="V6" s="37">
        <f t="shared" si="1"/>
        <v>0.82384263006105085</v>
      </c>
      <c r="W6" s="37">
        <f t="shared" si="1"/>
        <v>0.79804392776929967</v>
      </c>
      <c r="X6" s="37">
        <v>1920.2962962962961</v>
      </c>
      <c r="Y6" s="37">
        <v>996</v>
      </c>
      <c r="Z6" s="37">
        <v>522</v>
      </c>
      <c r="AA6" s="4">
        <f t="shared" ref="AA6:AA31" si="6">Y6/Q6</f>
        <v>0.71943624806462636</v>
      </c>
      <c r="AB6" s="4">
        <f t="shared" ref="AB6:AB30" si="7">V6</f>
        <v>0.82384263006105085</v>
      </c>
      <c r="AC6" s="4">
        <f t="shared" ref="AC6:AC59" si="8">AA6-AB6</f>
        <v>-0.10440638199642449</v>
      </c>
      <c r="AD6" s="37">
        <v>3.5</v>
      </c>
      <c r="AE6" s="4">
        <f t="shared" ref="AE6:AE16" si="9">(AA6-AE$3)^2</f>
        <v>1.0136711545265815E-2</v>
      </c>
      <c r="AF6" s="4">
        <f t="shared" ref="AF6:AF55" si="10">(AB6-AE$3)^2</f>
        <v>4.2060931590726207E-2</v>
      </c>
      <c r="AG6" s="4">
        <f t="shared" ref="AG6:AG26" si="11">(S6-AG$3)^2</f>
        <v>4.01019485405202E-3</v>
      </c>
      <c r="AH6" s="4">
        <f t="shared" ref="AH6:AH26" si="12">(V6-AG$3)^2</f>
        <v>2.8134185285824641E-2</v>
      </c>
    </row>
    <row r="7" spans="1:48" s="4" customFormat="1" ht="16" x14ac:dyDescent="0.2">
      <c r="A7" s="4" t="s">
        <v>9</v>
      </c>
      <c r="B7" s="4" t="s">
        <v>12</v>
      </c>
      <c r="C7" s="4" t="s">
        <v>65</v>
      </c>
      <c r="D7" s="8">
        <v>22.686388888888889</v>
      </c>
      <c r="E7" s="8">
        <v>108.19583333333334</v>
      </c>
      <c r="F7" s="8">
        <v>1</v>
      </c>
      <c r="G7" s="1" t="s">
        <v>55</v>
      </c>
      <c r="H7" s="4" t="s">
        <v>49</v>
      </c>
      <c r="I7" s="4">
        <v>2010</v>
      </c>
      <c r="J7" s="19">
        <v>2014</v>
      </c>
      <c r="K7" s="19">
        <v>2015</v>
      </c>
      <c r="L7" s="19">
        <v>1447.0666666666668</v>
      </c>
      <c r="M7" s="19">
        <v>1347.4163487534563</v>
      </c>
      <c r="N7" s="19">
        <f t="shared" si="2"/>
        <v>1.0739565895911836</v>
      </c>
      <c r="O7" s="19">
        <f t="shared" si="3"/>
        <v>0.57460115722933869</v>
      </c>
      <c r="P7" s="18">
        <v>1494.9500000000003</v>
      </c>
      <c r="Q7" s="19">
        <v>1359.7533111284783</v>
      </c>
      <c r="R7" s="19">
        <f>P7/Q7</f>
        <v>1.0994273650705952</v>
      </c>
      <c r="S7" s="19">
        <f t="shared" si="4"/>
        <v>0.63173223625916664</v>
      </c>
      <c r="T7" s="19" t="e">
        <f t="shared" si="0"/>
        <v>#N/A</v>
      </c>
      <c r="U7" s="37">
        <f t="shared" si="5"/>
        <v>0.74492121427740154</v>
      </c>
      <c r="V7" s="37">
        <f t="shared" si="1"/>
        <v>0.7570110412278801</v>
      </c>
      <c r="W7" s="37">
        <f t="shared" si="1"/>
        <v>0.73176268624032659</v>
      </c>
      <c r="X7" s="37">
        <v>1294</v>
      </c>
      <c r="Y7" s="37">
        <v>859</v>
      </c>
      <c r="Z7" s="37">
        <v>332.5</v>
      </c>
      <c r="AA7" s="4">
        <f t="shared" si="6"/>
        <v>0.63173223625916664</v>
      </c>
      <c r="AB7" s="4">
        <f t="shared" si="7"/>
        <v>0.7570110412278801</v>
      </c>
      <c r="AC7" s="4">
        <f t="shared" si="8"/>
        <v>-0.12527880496871346</v>
      </c>
      <c r="AD7" s="37">
        <v>1</v>
      </c>
      <c r="AE7" s="4">
        <f t="shared" si="9"/>
        <v>1.6840838166592997E-4</v>
      </c>
      <c r="AF7" s="4">
        <f t="shared" si="10"/>
        <v>1.9114729960838829E-2</v>
      </c>
      <c r="AG7" s="4">
        <f t="shared" si="11"/>
        <v>5.9428261754696659E-4</v>
      </c>
      <c r="AH7" s="4">
        <f t="shared" si="12"/>
        <v>1.0180990102268831E-2</v>
      </c>
    </row>
    <row r="8" spans="1:48" s="4" customFormat="1" ht="16" x14ac:dyDescent="0.2">
      <c r="A8" s="4" t="s">
        <v>9</v>
      </c>
      <c r="B8" s="4" t="s">
        <v>56</v>
      </c>
      <c r="C8" s="4" t="s">
        <v>66</v>
      </c>
      <c r="D8" s="8">
        <v>-37.739166666666669</v>
      </c>
      <c r="E8" s="8">
        <v>140.79388888888889</v>
      </c>
      <c r="F8" s="8">
        <v>1</v>
      </c>
      <c r="G8" s="1" t="s">
        <v>58</v>
      </c>
      <c r="H8" s="4" t="s">
        <v>17</v>
      </c>
      <c r="I8" s="4">
        <v>1998</v>
      </c>
      <c r="J8" s="19">
        <v>2002</v>
      </c>
      <c r="K8" s="19">
        <v>2005</v>
      </c>
      <c r="L8" s="19">
        <v>731.12500000000011</v>
      </c>
      <c r="M8" s="19">
        <v>1526.5078125986097</v>
      </c>
      <c r="N8" s="19">
        <f t="shared" si="2"/>
        <v>0.47895267483458803</v>
      </c>
      <c r="O8" s="19">
        <f t="shared" si="3"/>
        <v>0.98388932969952037</v>
      </c>
      <c r="P8" s="18">
        <v>724.67500000000007</v>
      </c>
      <c r="Q8" s="19">
        <v>1540.0079809740841</v>
      </c>
      <c r="R8" s="19">
        <f t="shared" ref="R8:R60" si="13">P8/Q8</f>
        <v>0.47056574313441507</v>
      </c>
      <c r="S8" s="19">
        <f t="shared" si="4"/>
        <v>0.46298461359207632</v>
      </c>
      <c r="T8" s="19" t="e">
        <f t="shared" si="0"/>
        <v>#N/A</v>
      </c>
      <c r="U8" s="37">
        <f t="shared" si="5"/>
        <v>0.426046438829907</v>
      </c>
      <c r="V8" s="37">
        <f t="shared" si="1"/>
        <v>0.43074150618806661</v>
      </c>
      <c r="W8" s="37">
        <f t="shared" si="1"/>
        <v>0.42072964224016296</v>
      </c>
      <c r="X8" s="37">
        <v>701</v>
      </c>
      <c r="Y8" s="37">
        <v>713</v>
      </c>
      <c r="Z8" s="37">
        <v>402</v>
      </c>
      <c r="AA8" s="4">
        <f t="shared" si="6"/>
        <v>0.46298461359207632</v>
      </c>
      <c r="AB8" s="4">
        <f t="shared" si="7"/>
        <v>0.43074150618806661</v>
      </c>
      <c r="AC8" s="4">
        <f t="shared" si="8"/>
        <v>3.2243107404009708E-2</v>
      </c>
      <c r="AD8" s="37">
        <v>10</v>
      </c>
      <c r="AE8" s="4">
        <f t="shared" si="9"/>
        <v>2.426441663373614E-2</v>
      </c>
      <c r="AF8" s="4">
        <f t="shared" si="10"/>
        <v>3.5349077901279752E-2</v>
      </c>
      <c r="AG8" s="4">
        <f t="shared" si="11"/>
        <v>3.7297472331113704E-2</v>
      </c>
      <c r="AH8" s="4">
        <f t="shared" si="12"/>
        <v>5.0791025051467979E-2</v>
      </c>
      <c r="AV8" s="4">
        <f>0.0124*1500</f>
        <v>18.599999999999998</v>
      </c>
    </row>
    <row r="9" spans="1:48" s="4" customFormat="1" ht="16" x14ac:dyDescent="0.2">
      <c r="A9" s="4" t="s">
        <v>9</v>
      </c>
      <c r="B9" s="4" t="s">
        <v>57</v>
      </c>
      <c r="C9" s="4" t="s">
        <v>66</v>
      </c>
      <c r="D9" s="8">
        <v>-37.739166666666669</v>
      </c>
      <c r="E9" s="8">
        <v>140.79388888888889</v>
      </c>
      <c r="F9" s="8">
        <v>1</v>
      </c>
      <c r="G9" s="1" t="s">
        <v>58</v>
      </c>
      <c r="H9" s="4" t="s">
        <v>17</v>
      </c>
      <c r="I9" s="4">
        <v>1995</v>
      </c>
      <c r="J9" s="19">
        <v>1999</v>
      </c>
      <c r="K9" s="19">
        <v>2001</v>
      </c>
      <c r="L9" s="19">
        <v>725.12857142857149</v>
      </c>
      <c r="M9" s="19">
        <v>1491.2307072839988</v>
      </c>
      <c r="N9" s="19">
        <f t="shared" si="2"/>
        <v>0.48626182916341576</v>
      </c>
      <c r="O9" s="19">
        <f t="shared" si="3"/>
        <v>0.63098008792345484</v>
      </c>
      <c r="P9" s="18">
        <v>773.40000000000009</v>
      </c>
      <c r="Q9" s="19">
        <v>1520.145879355674</v>
      </c>
      <c r="R9" s="19">
        <f t="shared" si="13"/>
        <v>0.50876696144965505</v>
      </c>
      <c r="S9" s="19">
        <f t="shared" si="4"/>
        <v>0.32102182206805224</v>
      </c>
      <c r="T9" s="19" t="e">
        <f t="shared" si="0"/>
        <v>#N/A</v>
      </c>
      <c r="U9" s="37">
        <f t="shared" si="5"/>
        <v>0.4541069259058621</v>
      </c>
      <c r="V9" s="37">
        <f t="shared" si="1"/>
        <v>0.45947667508426071</v>
      </c>
      <c r="W9" s="37">
        <f t="shared" si="1"/>
        <v>0.44806713629034234</v>
      </c>
      <c r="X9" s="37">
        <v>489</v>
      </c>
      <c r="Y9" s="37">
        <v>488</v>
      </c>
      <c r="Z9" s="37">
        <v>190</v>
      </c>
      <c r="AA9" s="4">
        <f t="shared" si="6"/>
        <v>0.32102182206805224</v>
      </c>
      <c r="AB9" s="4">
        <f t="shared" si="7"/>
        <v>0.45947667508426071</v>
      </c>
      <c r="AC9" s="4">
        <f t="shared" si="8"/>
        <v>-0.13845485301620847</v>
      </c>
      <c r="AD9" s="37">
        <v>5</v>
      </c>
      <c r="AE9" s="4">
        <f t="shared" si="9"/>
        <v>8.8645051648452211E-2</v>
      </c>
      <c r="AF9" s="4">
        <f t="shared" si="10"/>
        <v>2.5369588215514317E-2</v>
      </c>
      <c r="AG9" s="4">
        <f t="shared" si="11"/>
        <v>0.1122841866803804</v>
      </c>
      <c r="AH9" s="4">
        <f t="shared" si="12"/>
        <v>3.8664722966953884E-2</v>
      </c>
    </row>
    <row r="10" spans="1:48" s="4" customFormat="1" ht="16" x14ac:dyDescent="0.2">
      <c r="A10" s="4" t="s">
        <v>9</v>
      </c>
      <c r="B10" s="4" t="s">
        <v>103</v>
      </c>
      <c r="C10" s="4" t="s">
        <v>66</v>
      </c>
      <c r="D10" s="8">
        <v>-37.739166666666669</v>
      </c>
      <c r="E10" s="8">
        <v>140.79388888888889</v>
      </c>
      <c r="F10" s="8">
        <v>1</v>
      </c>
      <c r="G10" s="1" t="s">
        <v>58</v>
      </c>
      <c r="H10" s="4" t="s">
        <v>17</v>
      </c>
      <c r="I10" s="4">
        <v>1998</v>
      </c>
      <c r="J10" s="19">
        <v>2002</v>
      </c>
      <c r="K10" s="19">
        <v>2004</v>
      </c>
      <c r="L10" s="19">
        <v>744.45714285714291</v>
      </c>
      <c r="M10" s="19">
        <v>1522.6813994410197</v>
      </c>
      <c r="N10" s="19">
        <f t="shared" si="2"/>
        <v>0.48891195697959866</v>
      </c>
      <c r="O10" s="19">
        <f t="shared" si="3"/>
        <v>0.80145074970144636</v>
      </c>
      <c r="P10" s="18">
        <v>753.63333333333333</v>
      </c>
      <c r="Q10" s="19">
        <v>1535.5797397315318</v>
      </c>
      <c r="R10" s="19">
        <f t="shared" si="13"/>
        <v>0.49078098247447077</v>
      </c>
      <c r="S10" s="19">
        <f t="shared" si="4"/>
        <v>0.39333678634337699</v>
      </c>
      <c r="T10" s="19" t="e">
        <f t="shared" si="0"/>
        <v>#N/A</v>
      </c>
      <c r="U10" s="37">
        <f t="shared" si="5"/>
        <v>0.44104565508435378</v>
      </c>
      <c r="V10" s="37">
        <f t="shared" si="1"/>
        <v>0.4460972809114141</v>
      </c>
      <c r="W10" s="37">
        <f t="shared" si="1"/>
        <v>0.43534613482696516</v>
      </c>
      <c r="X10" s="37">
        <v>658</v>
      </c>
      <c r="Y10" s="37">
        <v>604</v>
      </c>
      <c r="Z10" s="37">
        <v>274</v>
      </c>
      <c r="AA10" s="4">
        <f t="shared" si="6"/>
        <v>0.39333678634337699</v>
      </c>
      <c r="AB10" s="4">
        <f t="shared" si="7"/>
        <v>0.4460972809114141</v>
      </c>
      <c r="AC10" s="4">
        <f t="shared" si="8"/>
        <v>-5.2760494568037108E-2</v>
      </c>
      <c r="AD10" s="37">
        <v>8</v>
      </c>
      <c r="AE10" s="4">
        <f t="shared" si="9"/>
        <v>5.0813375898974361E-2</v>
      </c>
      <c r="AF10" s="4">
        <f t="shared" si="10"/>
        <v>2.9810691676338093E-2</v>
      </c>
      <c r="AG10" s="4">
        <f t="shared" si="11"/>
        <v>6.9049839991950954E-2</v>
      </c>
      <c r="AH10" s="4">
        <f t="shared" si="12"/>
        <v>4.4105404658961019E-2</v>
      </c>
    </row>
    <row r="11" spans="1:48" s="4" customFormat="1" ht="16" x14ac:dyDescent="0.2">
      <c r="A11" s="4" t="s">
        <v>9</v>
      </c>
      <c r="B11" s="4" t="s">
        <v>75</v>
      </c>
      <c r="C11" s="4" t="s">
        <v>76</v>
      </c>
      <c r="D11" s="8">
        <v>-25.283333333333335</v>
      </c>
      <c r="E11" s="8">
        <v>30.566666666666666</v>
      </c>
      <c r="F11" s="8">
        <v>3</v>
      </c>
      <c r="G11" s="1" t="s">
        <v>79</v>
      </c>
      <c r="H11" s="4" t="s">
        <v>13</v>
      </c>
      <c r="I11" s="4">
        <v>1969</v>
      </c>
      <c r="J11" s="19">
        <v>1973</v>
      </c>
      <c r="K11" s="19">
        <v>1983</v>
      </c>
      <c r="L11" s="19">
        <v>945.92000000000007</v>
      </c>
      <c r="M11" s="19">
        <v>1797.2759531561817</v>
      </c>
      <c r="N11" s="19">
        <f t="shared" si="2"/>
        <v>0.52630760364810847</v>
      </c>
      <c r="O11" s="19">
        <f t="shared" si="3"/>
        <v>1.3074260275944314</v>
      </c>
      <c r="P11" s="18">
        <v>884.23636363636365</v>
      </c>
      <c r="Q11" s="19">
        <v>1780.7564597884868</v>
      </c>
      <c r="R11" s="19">
        <f t="shared" si="13"/>
        <v>0.49655097909423879</v>
      </c>
      <c r="S11" s="19">
        <f t="shared" si="4"/>
        <v>0.64920367409530622</v>
      </c>
      <c r="T11" s="19" t="e">
        <f t="shared" si="0"/>
        <v>#N/A</v>
      </c>
      <c r="U11" s="37">
        <f t="shared" si="5"/>
        <v>0.44526499501887162</v>
      </c>
      <c r="V11" s="37">
        <f t="shared" si="1"/>
        <v>0.45041864310878976</v>
      </c>
      <c r="W11" s="37">
        <f t="shared" si="1"/>
        <v>0.43945623184297622</v>
      </c>
      <c r="X11" s="37">
        <v>1163.3954545454544</v>
      </c>
      <c r="Y11" s="37">
        <v>1156.0736363636361</v>
      </c>
      <c r="Z11" s="37"/>
      <c r="AA11" s="4">
        <f t="shared" si="6"/>
        <v>0.64920367409530622</v>
      </c>
      <c r="AB11" s="4">
        <f t="shared" si="7"/>
        <v>0.45041864310878976</v>
      </c>
      <c r="AC11" s="4">
        <f t="shared" si="8"/>
        <v>0.19878503098651645</v>
      </c>
      <c r="AD11" s="37">
        <v>30</v>
      </c>
      <c r="AE11" s="4">
        <f t="shared" si="9"/>
        <v>9.2712109892960197E-4</v>
      </c>
      <c r="AF11" s="4">
        <f t="shared" si="10"/>
        <v>2.8337132673877476E-2</v>
      </c>
      <c r="AG11" s="4">
        <f t="shared" si="11"/>
        <v>4.7699392194524814E-5</v>
      </c>
      <c r="AH11" s="4">
        <f t="shared" si="12"/>
        <v>4.2308995494097543E-2</v>
      </c>
    </row>
    <row r="12" spans="1:48" s="4" customFormat="1" ht="16" x14ac:dyDescent="0.2">
      <c r="A12" s="4" t="s">
        <v>9</v>
      </c>
      <c r="B12" s="4" t="s">
        <v>77</v>
      </c>
      <c r="C12" s="4" t="s">
        <v>78</v>
      </c>
      <c r="D12" s="8">
        <v>-23.783333333333335</v>
      </c>
      <c r="E12" s="8">
        <v>30.2</v>
      </c>
      <c r="F12" s="8">
        <v>3</v>
      </c>
      <c r="G12" s="1" t="s">
        <v>85</v>
      </c>
      <c r="H12" s="4" t="s">
        <v>13</v>
      </c>
      <c r="I12" s="4">
        <v>1983</v>
      </c>
      <c r="J12" s="19">
        <v>1987</v>
      </c>
      <c r="K12" s="19">
        <v>1996</v>
      </c>
      <c r="L12" s="19">
        <v>733.66428571428571</v>
      </c>
      <c r="M12" s="19">
        <v>1913.0707576537263</v>
      </c>
      <c r="N12" s="19">
        <f t="shared" si="2"/>
        <v>0.38350086256824273</v>
      </c>
      <c r="O12" s="19">
        <f t="shared" si="3"/>
        <v>0.74693346124854376</v>
      </c>
      <c r="P12" s="18">
        <v>729.65000000000009</v>
      </c>
      <c r="Q12" s="19">
        <v>1903.2614866273077</v>
      </c>
      <c r="R12" s="19">
        <f t="shared" si="13"/>
        <v>0.38336823664360653</v>
      </c>
      <c r="S12" s="19">
        <f t="shared" si="4"/>
        <v>0.28635056392895986</v>
      </c>
      <c r="T12" s="19" t="e">
        <f t="shared" si="0"/>
        <v>#N/A</v>
      </c>
      <c r="U12" s="37">
        <f t="shared" si="5"/>
        <v>0.35756608807517898</v>
      </c>
      <c r="V12" s="37">
        <f t="shared" si="1"/>
        <v>0.36077325658648185</v>
      </c>
      <c r="W12" s="37">
        <f t="shared" si="1"/>
        <v>0.35386489187202419</v>
      </c>
      <c r="X12" s="37">
        <v>755.60000000000014</v>
      </c>
      <c r="Y12" s="37">
        <v>545</v>
      </c>
      <c r="Z12" s="37"/>
      <c r="AA12" s="4">
        <f t="shared" si="6"/>
        <v>0.28635056392895986</v>
      </c>
      <c r="AB12" s="4">
        <f t="shared" si="7"/>
        <v>0.36077325658648185</v>
      </c>
      <c r="AC12" s="4">
        <f t="shared" si="8"/>
        <v>-7.4422692657521994E-2</v>
      </c>
      <c r="AD12" s="37">
        <v>10</v>
      </c>
      <c r="AE12" s="4">
        <f t="shared" si="9"/>
        <v>0.11049271627280109</v>
      </c>
      <c r="AF12" s="4">
        <f t="shared" si="10"/>
        <v>6.6554585486252538E-2</v>
      </c>
      <c r="AG12" s="4">
        <f t="shared" si="11"/>
        <v>0.1367221505690944</v>
      </c>
      <c r="AH12" s="4">
        <f t="shared" si="12"/>
        <v>8.7223879874456053E-2</v>
      </c>
    </row>
    <row r="13" spans="1:48" s="4" customFormat="1" ht="16" x14ac:dyDescent="0.2">
      <c r="A13" s="4" t="s">
        <v>9</v>
      </c>
      <c r="B13" s="4" t="s">
        <v>67</v>
      </c>
      <c r="C13" s="4" t="s">
        <v>71</v>
      </c>
      <c r="D13" s="8">
        <v>-42.604783333333337</v>
      </c>
      <c r="E13" s="8">
        <v>146.46718611111112</v>
      </c>
      <c r="F13" s="8">
        <v>1</v>
      </c>
      <c r="G13" s="1" t="s">
        <v>86</v>
      </c>
      <c r="H13" s="4" t="s">
        <v>14</v>
      </c>
      <c r="I13" s="4">
        <v>1999</v>
      </c>
      <c r="J13" s="19">
        <v>2008</v>
      </c>
      <c r="K13" s="19">
        <v>2010</v>
      </c>
      <c r="L13" s="19">
        <v>1317.50833333333</v>
      </c>
      <c r="M13" s="19">
        <v>1005.1071476279604</v>
      </c>
      <c r="N13" s="19">
        <f t="shared" si="2"/>
        <v>1.3108138136741265</v>
      </c>
      <c r="O13" s="19">
        <f t="shared" si="3"/>
        <v>0.73623014083095273</v>
      </c>
      <c r="P13" s="18">
        <v>1330.2</v>
      </c>
      <c r="Q13" s="19">
        <v>1012.405617399092</v>
      </c>
      <c r="R13" s="19">
        <f t="shared" si="13"/>
        <v>1.3139002561219817</v>
      </c>
      <c r="S13" s="19">
        <f t="shared" si="4"/>
        <v>0.96733297060251155</v>
      </c>
      <c r="T13" s="19" t="e">
        <f t="shared" si="0"/>
        <v>#N/A</v>
      </c>
      <c r="U13" s="37">
        <f t="shared" si="5"/>
        <v>0.8003988266228681</v>
      </c>
      <c r="V13" s="37">
        <f t="shared" si="1"/>
        <v>0.81274948767166655</v>
      </c>
      <c r="W13" s="37">
        <f t="shared" si="1"/>
        <v>0.78688147820168464</v>
      </c>
      <c r="X13" s="37">
        <v>1222.3333333333333</v>
      </c>
      <c r="Y13" s="37">
        <v>979.33333333333337</v>
      </c>
      <c r="Z13" s="37">
        <v>497</v>
      </c>
      <c r="AA13" s="4">
        <f t="shared" si="6"/>
        <v>0.96733297060251155</v>
      </c>
      <c r="AB13" s="4">
        <f t="shared" si="7"/>
        <v>0.81274948767166655</v>
      </c>
      <c r="AC13" s="4">
        <f t="shared" si="8"/>
        <v>0.15458348293084501</v>
      </c>
      <c r="AD13" s="37">
        <v>20</v>
      </c>
      <c r="AE13" s="4">
        <f t="shared" si="9"/>
        <v>0.12150659408822839</v>
      </c>
      <c r="AF13" s="4">
        <f t="shared" si="10"/>
        <v>3.7633857072376264E-2</v>
      </c>
      <c r="AG13" s="4">
        <f t="shared" si="11"/>
        <v>9.6859644840100859E-2</v>
      </c>
      <c r="AH13" s="4">
        <f t="shared" si="12"/>
        <v>2.4535882496941334E-2</v>
      </c>
    </row>
    <row r="14" spans="1:48" s="4" customFormat="1" ht="16" x14ac:dyDescent="0.2">
      <c r="A14" s="4" t="s">
        <v>9</v>
      </c>
      <c r="B14" s="4" t="s">
        <v>68</v>
      </c>
      <c r="C14" s="4" t="s">
        <v>71</v>
      </c>
      <c r="D14" s="8">
        <v>-42.605363888888888</v>
      </c>
      <c r="E14" s="8">
        <v>146.46769444444445</v>
      </c>
      <c r="F14" s="8">
        <v>1</v>
      </c>
      <c r="G14" s="1" t="s">
        <v>86</v>
      </c>
      <c r="H14" s="4" t="s">
        <v>14</v>
      </c>
      <c r="I14" s="4">
        <v>1999</v>
      </c>
      <c r="J14" s="19">
        <v>2008</v>
      </c>
      <c r="K14" s="19">
        <v>2010</v>
      </c>
      <c r="L14" s="19">
        <v>1321.6333333333334</v>
      </c>
      <c r="M14" s="19">
        <v>1032.0780282808521</v>
      </c>
      <c r="N14" s="19">
        <f t="shared" si="2"/>
        <v>1.2805556335065071</v>
      </c>
      <c r="O14" s="19">
        <f t="shared" si="3"/>
        <v>0.45712196013896506</v>
      </c>
      <c r="P14" s="18">
        <v>1640.7</v>
      </c>
      <c r="Q14" s="19">
        <v>1011.8067132535452</v>
      </c>
      <c r="R14" s="19">
        <f t="shared" si="13"/>
        <v>1.6215547678312967</v>
      </c>
      <c r="S14" s="19">
        <f t="shared" si="4"/>
        <v>0.74124829394372682</v>
      </c>
      <c r="T14" s="19" t="e">
        <f t="shared" si="0"/>
        <v>#N/A</v>
      </c>
      <c r="U14" s="37">
        <f t="shared" si="5"/>
        <v>0.8542601427313623</v>
      </c>
      <c r="V14" s="37">
        <f t="shared" si="1"/>
        <v>0.86599669440925497</v>
      </c>
      <c r="W14" s="37">
        <f t="shared" si="1"/>
        <v>0.84125594606313525</v>
      </c>
      <c r="X14" s="37">
        <v>1222.3333333333333</v>
      </c>
      <c r="Y14" s="37">
        <v>750</v>
      </c>
      <c r="Z14" s="37">
        <v>316</v>
      </c>
      <c r="AA14" s="4">
        <f t="shared" si="6"/>
        <v>0.74124829394372682</v>
      </c>
      <c r="AB14" s="4">
        <f t="shared" si="7"/>
        <v>0.86599669440925497</v>
      </c>
      <c r="AC14" s="4">
        <f t="shared" si="8"/>
        <v>-0.12474840046552815</v>
      </c>
      <c r="AD14" s="37">
        <v>5</v>
      </c>
      <c r="AE14" s="4">
        <f t="shared" si="9"/>
        <v>1.5004604425220339E-2</v>
      </c>
      <c r="AF14" s="4">
        <f t="shared" si="10"/>
        <v>6.1128450133903257E-2</v>
      </c>
      <c r="AG14" s="4">
        <f t="shared" si="11"/>
        <v>7.2485037665523102E-3</v>
      </c>
      <c r="AH14" s="4">
        <f t="shared" si="12"/>
        <v>4.4052362047601559E-2</v>
      </c>
    </row>
    <row r="15" spans="1:48" s="4" customFormat="1" ht="16" x14ac:dyDescent="0.2">
      <c r="A15" s="4" t="s">
        <v>9</v>
      </c>
      <c r="B15" s="4" t="s">
        <v>69</v>
      </c>
      <c r="C15" s="4" t="s">
        <v>71</v>
      </c>
      <c r="D15" s="8">
        <v>-42.600994444444446</v>
      </c>
      <c r="E15" s="8">
        <v>146.45778333333331</v>
      </c>
      <c r="F15" s="8">
        <v>1</v>
      </c>
      <c r="G15" s="1" t="s">
        <v>86</v>
      </c>
      <c r="H15" s="4" t="s">
        <v>14</v>
      </c>
      <c r="I15" s="4">
        <v>2001</v>
      </c>
      <c r="J15" s="19">
        <v>2009</v>
      </c>
      <c r="K15" s="19">
        <v>2009</v>
      </c>
      <c r="L15" s="19">
        <v>1308.9875000000002</v>
      </c>
      <c r="M15" s="19">
        <v>998.5461295845073</v>
      </c>
      <c r="N15" s="19">
        <f t="shared" si="2"/>
        <v>1.3108933690871816</v>
      </c>
      <c r="O15" s="19">
        <f t="shared" si="3"/>
        <v>0.56413950715421302</v>
      </c>
      <c r="P15" s="18">
        <v>1341.8666666666668</v>
      </c>
      <c r="Q15" s="19">
        <v>1003.9921496402361</v>
      </c>
      <c r="R15" s="19">
        <f t="shared" si="13"/>
        <v>1.3365310347770174</v>
      </c>
      <c r="S15" s="19">
        <f t="shared" si="4"/>
        <v>0.7539899592554169</v>
      </c>
      <c r="T15" s="19" t="e">
        <f t="shared" si="0"/>
        <v>#N/A</v>
      </c>
      <c r="U15" s="37">
        <f t="shared" si="5"/>
        <v>0.80525146349144028</v>
      </c>
      <c r="V15" s="37">
        <f t="shared" si="1"/>
        <v>0.81758702878056688</v>
      </c>
      <c r="W15" s="37">
        <f t="shared" si="1"/>
        <v>0.79173997949191754</v>
      </c>
      <c r="X15" s="37">
        <v>1259</v>
      </c>
      <c r="Y15" s="37">
        <v>757</v>
      </c>
      <c r="Z15" s="37">
        <v>377</v>
      </c>
      <c r="AA15" s="4">
        <f t="shared" si="6"/>
        <v>0.7539899592554169</v>
      </c>
      <c r="AB15" s="4">
        <f t="shared" si="7"/>
        <v>0.81758702878056688</v>
      </c>
      <c r="AC15" s="4">
        <f t="shared" si="8"/>
        <v>-6.3597069525149985E-2</v>
      </c>
      <c r="AD15" s="37">
        <v>5</v>
      </c>
      <c r="AE15" s="4">
        <f t="shared" si="9"/>
        <v>1.8288491294659242E-2</v>
      </c>
      <c r="AF15" s="4">
        <f t="shared" si="10"/>
        <v>3.9534171390279794E-2</v>
      </c>
      <c r="AG15" s="4">
        <f t="shared" si="11"/>
        <v>9.5804573040293144E-3</v>
      </c>
      <c r="AH15" s="4">
        <f t="shared" si="12"/>
        <v>2.6074782783503669E-2</v>
      </c>
    </row>
    <row r="16" spans="1:48" s="4" customFormat="1" ht="16" x14ac:dyDescent="0.2">
      <c r="A16" s="4" t="s">
        <v>9</v>
      </c>
      <c r="B16" s="4" t="s">
        <v>70</v>
      </c>
      <c r="C16" s="4" t="s">
        <v>71</v>
      </c>
      <c r="D16" s="8">
        <v>-42.600994444444446</v>
      </c>
      <c r="E16" s="8">
        <v>146.4579</v>
      </c>
      <c r="F16" s="8">
        <v>1</v>
      </c>
      <c r="G16" s="1" t="s">
        <v>86</v>
      </c>
      <c r="H16" s="4" t="s">
        <v>14</v>
      </c>
      <c r="I16" s="4">
        <v>2004</v>
      </c>
      <c r="J16" s="19">
        <v>2009</v>
      </c>
      <c r="K16" s="19">
        <v>2011</v>
      </c>
      <c r="L16" s="19">
        <v>1321.6333333333334</v>
      </c>
      <c r="M16" s="19">
        <v>1032.0780282808521</v>
      </c>
      <c r="N16" s="19">
        <f t="shared" si="2"/>
        <v>1.2805556335065071</v>
      </c>
      <c r="O16" s="19">
        <f t="shared" si="3"/>
        <v>0.6566854836510404</v>
      </c>
      <c r="P16" s="18">
        <v>1222.3</v>
      </c>
      <c r="Q16" s="19">
        <v>1004</v>
      </c>
      <c r="R16" s="19">
        <f t="shared" si="13"/>
        <v>1.2174302788844622</v>
      </c>
      <c r="S16" s="19">
        <f t="shared" si="4"/>
        <v>0.79946879150066397</v>
      </c>
      <c r="T16" s="19" t="e">
        <f t="shared" si="0"/>
        <v>#N/A</v>
      </c>
      <c r="U16" s="37">
        <f t="shared" si="5"/>
        <v>0.77771635883282575</v>
      </c>
      <c r="V16" s="37">
        <f t="shared" si="1"/>
        <v>0.79005016136577821</v>
      </c>
      <c r="W16" s="37">
        <f t="shared" si="1"/>
        <v>0.76425786846444543</v>
      </c>
      <c r="X16" s="37">
        <v>1222.3333333333333</v>
      </c>
      <c r="Y16" s="37">
        <v>802.66666666666663</v>
      </c>
      <c r="Z16" s="37">
        <v>440.33333333333331</v>
      </c>
      <c r="AA16" s="4">
        <f t="shared" si="6"/>
        <v>0.79946879150066397</v>
      </c>
      <c r="AB16" s="4">
        <f t="shared" si="7"/>
        <v>0.79005016136577821</v>
      </c>
      <c r="AC16" s="4">
        <f t="shared" si="8"/>
        <v>9.4186301348857526E-3</v>
      </c>
      <c r="AD16" s="37">
        <v>7</v>
      </c>
      <c r="AE16" s="4">
        <f t="shared" si="9"/>
        <v>3.2657470549719979E-2</v>
      </c>
      <c r="AF16" s="4">
        <f t="shared" si="10"/>
        <v>2.9342028621184398E-2</v>
      </c>
      <c r="AG16" s="4">
        <f t="shared" si="11"/>
        <v>2.0551700450511332E-2</v>
      </c>
      <c r="AH16" s="4">
        <f t="shared" si="12"/>
        <v>1.7939926978766296E-2</v>
      </c>
    </row>
    <row r="17" spans="1:36" s="4" customFormat="1" ht="16" x14ac:dyDescent="0.2">
      <c r="A17" s="4" t="s">
        <v>9</v>
      </c>
      <c r="B17" s="4" t="s">
        <v>80</v>
      </c>
      <c r="C17" s="4" t="s">
        <v>15</v>
      </c>
      <c r="D17" s="8">
        <v>-16.565333333333335</v>
      </c>
      <c r="E17" s="8">
        <v>-42.893222222222221</v>
      </c>
      <c r="F17" s="8">
        <v>2</v>
      </c>
      <c r="G17" s="1" t="s">
        <v>87</v>
      </c>
      <c r="H17" s="4" t="s">
        <v>59</v>
      </c>
      <c r="I17" s="4">
        <v>1974</v>
      </c>
      <c r="J17" s="19">
        <v>1982</v>
      </c>
      <c r="K17" s="19">
        <v>1984</v>
      </c>
      <c r="L17" s="19">
        <v>1062.6909090909094</v>
      </c>
      <c r="M17" s="19">
        <v>2008.4029340588638</v>
      </c>
      <c r="N17" s="19">
        <f t="shared" si="2"/>
        <v>0.52912236437698967</v>
      </c>
      <c r="O17" s="19">
        <f t="shared" si="3"/>
        <v>0.94975443898753309</v>
      </c>
      <c r="P17" s="18">
        <v>970.56666666666661</v>
      </c>
      <c r="Q17" s="19">
        <v>2012.2176143046272</v>
      </c>
      <c r="R17" s="19">
        <f t="shared" si="13"/>
        <v>0.4823368306524195</v>
      </c>
      <c r="S17" s="19">
        <f t="shared" si="4"/>
        <v>0.45810154599931346</v>
      </c>
      <c r="T17" s="19" t="e">
        <f t="shared" si="0"/>
        <v>#N/A</v>
      </c>
      <c r="U17" s="37">
        <f t="shared" si="5"/>
        <v>0.43482122785147026</v>
      </c>
      <c r="V17" s="37">
        <f t="shared" si="1"/>
        <v>0.43972370407598893</v>
      </c>
      <c r="W17" s="37">
        <f t="shared" si="1"/>
        <v>0.42928162258574032</v>
      </c>
      <c r="X17" s="37">
        <v>1121</v>
      </c>
      <c r="Y17" s="37">
        <v>921.8</v>
      </c>
      <c r="Z17" s="37"/>
      <c r="AA17" s="4">
        <f t="shared" si="6"/>
        <v>0.45810154599931346</v>
      </c>
      <c r="AB17" s="4">
        <f t="shared" si="7"/>
        <v>0.43972370407598893</v>
      </c>
      <c r="AC17" s="4">
        <f t="shared" si="8"/>
        <v>1.8377841923324534E-2</v>
      </c>
      <c r="AD17" s="37">
        <v>5</v>
      </c>
      <c r="AE17" s="4">
        <f>(AA17-AE$3)^2</f>
        <v>2.5809535739492954E-2</v>
      </c>
      <c r="AF17" s="4">
        <f t="shared" si="10"/>
        <v>3.2052208772850477E-2</v>
      </c>
      <c r="AG17" s="4">
        <f t="shared" si="11"/>
        <v>3.920740676438577E-2</v>
      </c>
      <c r="AH17" s="4">
        <f t="shared" si="12"/>
        <v>4.6823093439868138E-2</v>
      </c>
    </row>
    <row r="18" spans="1:36" s="4" customFormat="1" ht="16" x14ac:dyDescent="0.2">
      <c r="A18" s="4" t="s">
        <v>9</v>
      </c>
      <c r="B18" s="4" t="s">
        <v>89</v>
      </c>
      <c r="C18" s="4" t="s">
        <v>15</v>
      </c>
      <c r="D18" s="8">
        <v>-19.850000000000001</v>
      </c>
      <c r="E18" s="8">
        <v>-40.68333333333333</v>
      </c>
      <c r="F18" s="8">
        <v>2</v>
      </c>
      <c r="G18" s="1" t="s">
        <v>88</v>
      </c>
      <c r="H18" s="4" t="s">
        <v>59</v>
      </c>
      <c r="I18" s="4">
        <v>1986</v>
      </c>
      <c r="J18" s="19">
        <v>1995</v>
      </c>
      <c r="K18" s="19">
        <v>1996</v>
      </c>
      <c r="L18" s="19">
        <v>1158.1727272727273</v>
      </c>
      <c r="M18" s="19">
        <v>1840.1125707062515</v>
      </c>
      <c r="N18" s="19">
        <f t="shared" si="2"/>
        <v>0.62940319288629742</v>
      </c>
      <c r="O18" s="19">
        <f t="shared" si="3"/>
        <v>0.99199763985691636</v>
      </c>
      <c r="P18" s="18">
        <v>1355.85</v>
      </c>
      <c r="Q18" s="19">
        <v>1826.4852557729664</v>
      </c>
      <c r="R18" s="19">
        <f t="shared" si="13"/>
        <v>0.74232737204670496</v>
      </c>
      <c r="S18" s="19">
        <f t="shared" si="4"/>
        <v>0.73638700107151844</v>
      </c>
      <c r="T18" s="19" t="e">
        <f t="shared" si="0"/>
        <v>#N/A</v>
      </c>
      <c r="U18" s="37">
        <f t="shared" si="5"/>
        <v>0.59940281987820843</v>
      </c>
      <c r="V18" s="37">
        <f t="shared" si="1"/>
        <v>0.60855299212035407</v>
      </c>
      <c r="W18" s="37">
        <f t="shared" si="1"/>
        <v>0.58937659225726446</v>
      </c>
      <c r="X18" s="37">
        <v>1396</v>
      </c>
      <c r="Y18" s="37">
        <v>1345</v>
      </c>
      <c r="Z18" s="37"/>
      <c r="AA18" s="4">
        <f t="shared" si="6"/>
        <v>0.73638700107151844</v>
      </c>
      <c r="AB18" s="4">
        <f t="shared" si="7"/>
        <v>0.60855299212035407</v>
      </c>
      <c r="AC18" s="4">
        <f t="shared" si="8"/>
        <v>0.12783400895116437</v>
      </c>
      <c r="AD18" s="37"/>
      <c r="AE18" s="4">
        <f t="shared" ref="AE18:AE55" si="14">(AA18-AE$3)^2</f>
        <v>1.3837285144737178E-2</v>
      </c>
      <c r="AF18" s="4">
        <f t="shared" si="10"/>
        <v>1.0408118431604998E-4</v>
      </c>
      <c r="AG18" s="4">
        <f t="shared" si="11"/>
        <v>6.4443730182022494E-3</v>
      </c>
      <c r="AH18" s="4">
        <f t="shared" si="12"/>
        <v>2.2616831469624509E-3</v>
      </c>
    </row>
    <row r="19" spans="1:36" s="4" customFormat="1" ht="16" x14ac:dyDescent="0.2">
      <c r="A19" s="4" t="s">
        <v>9</v>
      </c>
      <c r="B19" s="4" t="s">
        <v>92</v>
      </c>
      <c r="C19" s="4" t="s">
        <v>15</v>
      </c>
      <c r="D19" s="8">
        <v>-30.1769</v>
      </c>
      <c r="E19" s="8">
        <v>-51.613</v>
      </c>
      <c r="F19" s="8">
        <v>3</v>
      </c>
      <c r="G19" s="1" t="s">
        <v>90</v>
      </c>
      <c r="H19" s="4" t="s">
        <v>91</v>
      </c>
      <c r="I19" s="4">
        <v>2002</v>
      </c>
      <c r="J19" s="19">
        <v>2002</v>
      </c>
      <c r="K19" s="19">
        <v>2014</v>
      </c>
      <c r="L19" s="19">
        <v>1476.6076923076923</v>
      </c>
      <c r="M19" s="19">
        <v>1623.5116732076062</v>
      </c>
      <c r="N19" s="19">
        <f t="shared" si="2"/>
        <v>0.90951467530278207</v>
      </c>
      <c r="O19" s="19">
        <f t="shared" si="3"/>
        <v>0.87877098755463401</v>
      </c>
      <c r="P19" s="18">
        <v>1476.6076923076923</v>
      </c>
      <c r="Q19" s="19">
        <v>1623.5116732076062</v>
      </c>
      <c r="R19" s="19">
        <f t="shared" si="13"/>
        <v>0.90951467530278207</v>
      </c>
      <c r="S19" s="19">
        <f t="shared" si="4"/>
        <v>0.79925510941125799</v>
      </c>
      <c r="T19" s="19" t="e">
        <f t="shared" si="0"/>
        <v>#N/A</v>
      </c>
      <c r="U19" s="37">
        <f t="shared" si="5"/>
        <v>0.67753342174560705</v>
      </c>
      <c r="V19" s="37">
        <f t="shared" si="1"/>
        <v>0.68852947761072336</v>
      </c>
      <c r="W19" s="37">
        <f t="shared" si="1"/>
        <v>0.66556533973731868</v>
      </c>
      <c r="X19" s="37">
        <v>1626.5333333333333</v>
      </c>
      <c r="Y19" s="37">
        <v>1297.5999999999999</v>
      </c>
      <c r="Z19" s="37"/>
      <c r="AA19" s="4">
        <f t="shared" si="6"/>
        <v>0.79925510941125799</v>
      </c>
      <c r="AB19" s="4">
        <f t="shared" si="7"/>
        <v>0.68852947761072336</v>
      </c>
      <c r="AC19" s="4">
        <f t="shared" si="8"/>
        <v>0.11072563180053463</v>
      </c>
      <c r="AD19" s="37"/>
      <c r="AE19" s="4">
        <f t="shared" si="14"/>
        <v>3.258028561324891E-2</v>
      </c>
      <c r="AF19" s="4">
        <f t="shared" si="10"/>
        <v>4.8684762243548967E-3</v>
      </c>
      <c r="AG19" s="4">
        <f t="shared" si="11"/>
        <v>2.0490479761913125E-2</v>
      </c>
      <c r="AH19" s="4">
        <f t="shared" si="12"/>
        <v>1.0510128835985535E-3</v>
      </c>
    </row>
    <row r="20" spans="1:36" s="4" customFormat="1" ht="16" x14ac:dyDescent="0.2">
      <c r="A20" s="4" t="s">
        <v>9</v>
      </c>
      <c r="B20" s="4" t="s">
        <v>92</v>
      </c>
      <c r="C20" s="4" t="s">
        <v>15</v>
      </c>
      <c r="D20" s="8">
        <v>-30.510100000000001</v>
      </c>
      <c r="E20" s="8">
        <v>-51.613</v>
      </c>
      <c r="F20" s="8">
        <v>3</v>
      </c>
      <c r="G20" s="1" t="s">
        <v>90</v>
      </c>
      <c r="H20" s="4" t="s">
        <v>91</v>
      </c>
      <c r="I20" s="4">
        <v>2002</v>
      </c>
      <c r="J20" s="19">
        <v>2002</v>
      </c>
      <c r="K20" s="19">
        <v>2014</v>
      </c>
      <c r="L20" s="19">
        <v>1433.2769230769229</v>
      </c>
      <c r="M20" s="19">
        <v>1602.1325415368642</v>
      </c>
      <c r="N20" s="19">
        <f t="shared" si="2"/>
        <v>0.8946057120230736</v>
      </c>
      <c r="O20" s="19">
        <f t="shared" si="3"/>
        <v>0.8162115248082854</v>
      </c>
      <c r="P20" s="18">
        <v>1433.2769230769229</v>
      </c>
      <c r="Q20" s="19">
        <v>1602.1325415368642</v>
      </c>
      <c r="R20" s="19">
        <f t="shared" si="13"/>
        <v>0.8946057120230736</v>
      </c>
      <c r="S20" s="19">
        <f t="shared" si="4"/>
        <v>0.73018749231255475</v>
      </c>
      <c r="T20" s="19" t="e">
        <f t="shared" si="0"/>
        <v>#N/A</v>
      </c>
      <c r="U20" s="37">
        <f t="shared" si="5"/>
        <v>0.67134595157413179</v>
      </c>
      <c r="V20" s="37">
        <f t="shared" si="1"/>
        <v>0.68221256111659723</v>
      </c>
      <c r="W20" s="37">
        <f t="shared" si="1"/>
        <v>0.65951524351201174</v>
      </c>
      <c r="X20" s="37">
        <v>1433.1428571428571</v>
      </c>
      <c r="Y20" s="37">
        <v>1169.8571428571429</v>
      </c>
      <c r="Z20" s="37"/>
      <c r="AA20" s="4">
        <f t="shared" si="6"/>
        <v>0.73018749231255475</v>
      </c>
      <c r="AB20" s="4">
        <f t="shared" si="7"/>
        <v>0.68221256111659723</v>
      </c>
      <c r="AC20" s="4">
        <f t="shared" si="8"/>
        <v>4.7974931195957526E-2</v>
      </c>
      <c r="AD20" s="37"/>
      <c r="AE20" s="4">
        <f t="shared" si="14"/>
        <v>1.2417197945043826E-2</v>
      </c>
      <c r="AF20" s="4">
        <f t="shared" si="10"/>
        <v>4.0268606973075504E-3</v>
      </c>
      <c r="AG20" s="4">
        <f t="shared" si="11"/>
        <v>5.4874528288707874E-3</v>
      </c>
      <c r="AH20" s="4">
        <f t="shared" si="12"/>
        <v>6.8133593121001321E-4</v>
      </c>
    </row>
    <row r="21" spans="1:36" s="4" customFormat="1" ht="16" x14ac:dyDescent="0.2">
      <c r="A21" s="4" t="s">
        <v>9</v>
      </c>
      <c r="B21" s="4" t="s">
        <v>82</v>
      </c>
      <c r="C21" s="4" t="s">
        <v>71</v>
      </c>
      <c r="D21" s="8">
        <v>-42.81666666666667</v>
      </c>
      <c r="E21" s="8">
        <v>147.6</v>
      </c>
      <c r="F21" s="8">
        <v>2</v>
      </c>
      <c r="G21" s="1" t="s">
        <v>94</v>
      </c>
      <c r="H21" s="4" t="s">
        <v>17</v>
      </c>
      <c r="I21" s="4">
        <v>1990</v>
      </c>
      <c r="J21" s="19">
        <v>1992</v>
      </c>
      <c r="K21" s="19">
        <v>1996</v>
      </c>
      <c r="L21" s="19">
        <v>846.7285714285714</v>
      </c>
      <c r="M21" s="19">
        <v>1193.8507736570334</v>
      </c>
      <c r="N21" s="19">
        <f t="shared" si="2"/>
        <v>0.70924154853529253</v>
      </c>
      <c r="O21" s="19">
        <f t="shared" si="3"/>
        <v>1.1350737797956865</v>
      </c>
      <c r="P21" s="18">
        <v>863.38000000000011</v>
      </c>
      <c r="Q21" s="19">
        <v>1182.3842195571499</v>
      </c>
      <c r="R21" s="19">
        <f t="shared" si="13"/>
        <v>0.73020257351148543</v>
      </c>
      <c r="S21" s="19">
        <f t="shared" si="4"/>
        <v>0.82883379513221944</v>
      </c>
      <c r="T21" s="19" t="e">
        <f t="shared" si="0"/>
        <v>#N/A</v>
      </c>
      <c r="U21" s="37">
        <f t="shared" si="5"/>
        <v>0.59294360181518102</v>
      </c>
      <c r="V21" s="37">
        <f t="shared" si="5"/>
        <v>0.6019269255888724</v>
      </c>
      <c r="W21" s="37">
        <f t="shared" si="5"/>
        <v>0.58309214675472099</v>
      </c>
      <c r="X21" s="37">
        <v>974.5454545454545</v>
      </c>
      <c r="Y21" s="37">
        <v>980</v>
      </c>
      <c r="Z21" s="37"/>
      <c r="AA21" s="4">
        <f t="shared" si="6"/>
        <v>0.82883379513221944</v>
      </c>
      <c r="AB21" s="4">
        <f t="shared" si="7"/>
        <v>0.6019269255888724</v>
      </c>
      <c r="AC21" s="4">
        <f t="shared" si="8"/>
        <v>0.22690686954334705</v>
      </c>
      <c r="AD21" s="37"/>
      <c r="AE21" s="4">
        <f t="shared" si="14"/>
        <v>4.4133095643466645E-2</v>
      </c>
      <c r="AF21" s="4">
        <f t="shared" si="10"/>
        <v>2.8318445051413437E-4</v>
      </c>
      <c r="AG21" s="4">
        <f t="shared" si="11"/>
        <v>2.9833458018604712E-2</v>
      </c>
      <c r="AH21" s="4">
        <f t="shared" si="12"/>
        <v>2.9358216724313605E-3</v>
      </c>
    </row>
    <row r="22" spans="1:36" s="4" customFormat="1" ht="16" x14ac:dyDescent="0.2">
      <c r="A22" s="4" t="s">
        <v>9</v>
      </c>
      <c r="B22" s="4" t="s">
        <v>83</v>
      </c>
      <c r="C22" s="4" t="s">
        <v>71</v>
      </c>
      <c r="D22" s="8">
        <v>-42.81666666666667</v>
      </c>
      <c r="E22" s="8">
        <v>147.6</v>
      </c>
      <c r="F22" s="8">
        <v>2</v>
      </c>
      <c r="G22" s="1" t="s">
        <v>94</v>
      </c>
      <c r="H22" s="4" t="s">
        <v>14</v>
      </c>
      <c r="I22" s="4">
        <v>1990</v>
      </c>
      <c r="J22" s="19">
        <v>1992</v>
      </c>
      <c r="K22" s="19">
        <v>1996</v>
      </c>
      <c r="L22" s="19">
        <v>846.7285714285714</v>
      </c>
      <c r="M22" s="19">
        <v>1193.8507736570334</v>
      </c>
      <c r="N22" s="19">
        <f t="shared" si="2"/>
        <v>0.70924154853529253</v>
      </c>
      <c r="O22" s="19">
        <f t="shared" si="3"/>
        <v>1.1350737797956865</v>
      </c>
      <c r="P22" s="18">
        <v>863.38000000000011</v>
      </c>
      <c r="Q22" s="19">
        <v>1182.3842195571499</v>
      </c>
      <c r="R22" s="19">
        <f t="shared" si="13"/>
        <v>0.73020257351148543</v>
      </c>
      <c r="S22" s="19">
        <f t="shared" si="4"/>
        <v>0.82883379513221944</v>
      </c>
      <c r="T22" s="19" t="e">
        <f t="shared" si="0"/>
        <v>#N/A</v>
      </c>
      <c r="U22" s="37">
        <f t="shared" si="5"/>
        <v>0.59294360181518102</v>
      </c>
      <c r="V22" s="37">
        <f t="shared" si="5"/>
        <v>0.6019269255888724</v>
      </c>
      <c r="W22" s="37">
        <f t="shared" si="5"/>
        <v>0.58309214675472099</v>
      </c>
      <c r="X22" s="37">
        <v>960</v>
      </c>
      <c r="Y22" s="37">
        <v>980</v>
      </c>
      <c r="Z22" s="37"/>
      <c r="AA22" s="4">
        <f t="shared" si="6"/>
        <v>0.82883379513221944</v>
      </c>
      <c r="AB22" s="4">
        <f t="shared" si="7"/>
        <v>0.6019269255888724</v>
      </c>
      <c r="AC22" s="4">
        <f t="shared" si="8"/>
        <v>0.22690686954334705</v>
      </c>
      <c r="AD22" s="37"/>
      <c r="AE22" s="4">
        <f t="shared" si="14"/>
        <v>4.4133095643466645E-2</v>
      </c>
      <c r="AF22" s="4">
        <f t="shared" si="10"/>
        <v>2.8318445051413437E-4</v>
      </c>
      <c r="AG22" s="4">
        <f t="shared" si="11"/>
        <v>2.9833458018604712E-2</v>
      </c>
      <c r="AH22" s="4">
        <f t="shared" si="12"/>
        <v>2.9358216724313605E-3</v>
      </c>
    </row>
    <row r="23" spans="1:36" s="4" customFormat="1" ht="16" x14ac:dyDescent="0.2">
      <c r="A23" s="4" t="s">
        <v>9</v>
      </c>
      <c r="B23" s="4" t="s">
        <v>93</v>
      </c>
      <c r="C23" s="4" t="s">
        <v>15</v>
      </c>
      <c r="D23" s="8">
        <v>-30.504999999999999</v>
      </c>
      <c r="E23" s="8">
        <v>-54.151944</v>
      </c>
      <c r="F23" s="8">
        <v>3</v>
      </c>
      <c r="G23" s="1" t="s">
        <v>95</v>
      </c>
      <c r="H23" s="4" t="s">
        <v>16</v>
      </c>
      <c r="I23" s="4">
        <v>2005</v>
      </c>
      <c r="J23" s="19">
        <v>2012</v>
      </c>
      <c r="K23" s="19">
        <v>2013</v>
      </c>
      <c r="L23" s="19">
        <v>1373</v>
      </c>
      <c r="M23" s="19">
        <v>1608</v>
      </c>
      <c r="N23" s="19">
        <f t="shared" si="2"/>
        <v>0.85385572139303478</v>
      </c>
      <c r="O23" s="19">
        <f t="shared" si="3"/>
        <v>0.6912650602409639</v>
      </c>
      <c r="P23" s="18">
        <v>1328</v>
      </c>
      <c r="Q23" s="19">
        <v>1612</v>
      </c>
      <c r="R23" s="19">
        <f t="shared" si="13"/>
        <v>0.82382133995037221</v>
      </c>
      <c r="S23" s="19">
        <f t="shared" si="4"/>
        <v>0.5694789081885856</v>
      </c>
      <c r="T23" s="19" t="e">
        <f t="shared" si="0"/>
        <v>#N/A</v>
      </c>
      <c r="U23" s="37">
        <f t="shared" si="5"/>
        <v>0.6399519168274046</v>
      </c>
      <c r="V23" s="37">
        <f t="shared" si="5"/>
        <v>0.6501099109216224</v>
      </c>
      <c r="W23" s="37">
        <f t="shared" si="5"/>
        <v>0.62886872398775595</v>
      </c>
      <c r="X23" s="37">
        <v>2088</v>
      </c>
      <c r="Y23" s="37">
        <v>918</v>
      </c>
      <c r="Z23" s="37"/>
      <c r="AA23" s="4">
        <f t="shared" si="6"/>
        <v>0.5694789081885856</v>
      </c>
      <c r="AB23" s="4">
        <f t="shared" si="7"/>
        <v>0.6501099109216224</v>
      </c>
      <c r="AC23" s="4">
        <f t="shared" si="8"/>
        <v>-8.0631002733036805E-2</v>
      </c>
      <c r="AD23" s="37"/>
      <c r="AE23" s="4">
        <f t="shared" si="14"/>
        <v>2.4281342845916859E-3</v>
      </c>
      <c r="AF23" s="4">
        <f t="shared" si="10"/>
        <v>9.8312976416876766E-4</v>
      </c>
      <c r="AG23" s="4">
        <f t="shared" si="11"/>
        <v>7.5049718416937954E-3</v>
      </c>
      <c r="AH23" s="4">
        <f t="shared" si="12"/>
        <v>3.6002854030626145E-5</v>
      </c>
    </row>
    <row r="24" spans="1:36" s="4" customFormat="1" ht="16" x14ac:dyDescent="0.2">
      <c r="A24" s="4" t="s">
        <v>9</v>
      </c>
      <c r="B24" s="4" t="s">
        <v>97</v>
      </c>
      <c r="C24" s="4" t="s">
        <v>84</v>
      </c>
      <c r="D24" s="7">
        <v>39.25</v>
      </c>
      <c r="E24" s="7">
        <v>-9.25</v>
      </c>
      <c r="F24" s="7">
        <v>3</v>
      </c>
      <c r="G24" s="1" t="s">
        <v>96</v>
      </c>
      <c r="H24" s="4" t="s">
        <v>17</v>
      </c>
      <c r="I24" s="4">
        <v>1982</v>
      </c>
      <c r="J24" s="19">
        <v>1984</v>
      </c>
      <c r="K24" s="19">
        <v>1993</v>
      </c>
      <c r="L24" s="19">
        <v>756.6</v>
      </c>
      <c r="M24" s="19">
        <v>1101</v>
      </c>
      <c r="N24" s="19">
        <f t="shared" si="2"/>
        <v>0.68719346049046326</v>
      </c>
      <c r="O24" s="19">
        <f t="shared" si="3"/>
        <v>0.97219910824473799</v>
      </c>
      <c r="P24" s="18">
        <v>777.61848739495781</v>
      </c>
      <c r="Q24" s="19">
        <v>1100.5999999999999</v>
      </c>
      <c r="R24" s="19">
        <f t="shared" si="13"/>
        <v>0.70654051189801736</v>
      </c>
      <c r="S24" s="19">
        <f t="shared" si="4"/>
        <v>0.68689805560603312</v>
      </c>
      <c r="T24" s="19" t="e">
        <f t="shared" si="0"/>
        <v>#N/A</v>
      </c>
      <c r="U24" s="37">
        <f t="shared" si="5"/>
        <v>0.58000908697342912</v>
      </c>
      <c r="V24" s="37">
        <f t="shared" si="5"/>
        <v>0.58865494119760631</v>
      </c>
      <c r="W24" s="37">
        <f t="shared" si="5"/>
        <v>0.57051116468744167</v>
      </c>
      <c r="X24" s="37">
        <v>788</v>
      </c>
      <c r="Y24" s="37">
        <v>756</v>
      </c>
      <c r="Z24" s="37"/>
      <c r="AA24" s="4">
        <f t="shared" si="6"/>
        <v>0.68689805560603312</v>
      </c>
      <c r="AB24" s="4">
        <f t="shared" si="7"/>
        <v>0.58865494119760631</v>
      </c>
      <c r="AC24" s="4">
        <f t="shared" si="8"/>
        <v>9.8243114408426813E-2</v>
      </c>
      <c r="AD24" s="37"/>
      <c r="AE24" s="4">
        <f t="shared" si="14"/>
        <v>4.643474560939464E-3</v>
      </c>
      <c r="AF24" s="4">
        <f t="shared" si="10"/>
        <v>9.0601418763841903E-4</v>
      </c>
      <c r="AG24" s="4">
        <f t="shared" si="11"/>
        <v>9.4789520840371142E-4</v>
      </c>
      <c r="AH24" s="4">
        <f t="shared" si="12"/>
        <v>4.5502050263134877E-3</v>
      </c>
    </row>
    <row r="25" spans="1:36" s="4" customFormat="1" ht="16" x14ac:dyDescent="0.2">
      <c r="A25" s="4" t="s">
        <v>9</v>
      </c>
      <c r="B25" s="4" t="s">
        <v>97</v>
      </c>
      <c r="C25" s="4" t="s">
        <v>84</v>
      </c>
      <c r="D25" s="7">
        <v>39.25</v>
      </c>
      <c r="E25" s="7">
        <v>-9.25</v>
      </c>
      <c r="F25" s="7">
        <v>3</v>
      </c>
      <c r="G25" s="1" t="s">
        <v>96</v>
      </c>
      <c r="H25" s="4" t="s">
        <v>17</v>
      </c>
      <c r="I25" s="4">
        <v>1982</v>
      </c>
      <c r="J25" s="19">
        <v>1984</v>
      </c>
      <c r="K25" s="19">
        <v>1993</v>
      </c>
      <c r="L25" s="19">
        <v>756.6</v>
      </c>
      <c r="M25" s="19">
        <v>1101</v>
      </c>
      <c r="N25" s="19">
        <f t="shared" si="2"/>
        <v>0.68719346049046326</v>
      </c>
      <c r="O25" s="19">
        <f t="shared" si="3"/>
        <v>0.98377290715241339</v>
      </c>
      <c r="P25" s="18">
        <v>777.61848739495781</v>
      </c>
      <c r="Q25" s="19">
        <v>1100.5999999999999</v>
      </c>
      <c r="R25" s="19">
        <f t="shared" si="13"/>
        <v>0.70654051189801736</v>
      </c>
      <c r="S25" s="19">
        <f t="shared" si="4"/>
        <v>0.69507541341086687</v>
      </c>
      <c r="T25" s="19" t="e">
        <f t="shared" si="0"/>
        <v>#N/A</v>
      </c>
      <c r="U25" s="37">
        <f t="shared" si="5"/>
        <v>0.58000908697342912</v>
      </c>
      <c r="V25" s="37">
        <f t="shared" si="5"/>
        <v>0.58865494119760631</v>
      </c>
      <c r="W25" s="37">
        <f t="shared" si="5"/>
        <v>0.57051116468744167</v>
      </c>
      <c r="X25" s="37">
        <v>788</v>
      </c>
      <c r="Y25" s="37">
        <v>765</v>
      </c>
      <c r="Z25" s="37"/>
      <c r="AA25" s="4">
        <f t="shared" si="6"/>
        <v>0.69507541341086687</v>
      </c>
      <c r="AB25" s="4">
        <f t="shared" si="7"/>
        <v>0.58865494119760631</v>
      </c>
      <c r="AC25" s="4">
        <f t="shared" si="8"/>
        <v>0.10642047221326056</v>
      </c>
      <c r="AD25" s="37"/>
      <c r="AE25" s="4">
        <f t="shared" si="14"/>
        <v>5.8248038608475477E-3</v>
      </c>
      <c r="AF25" s="4">
        <f t="shared" si="10"/>
        <v>9.0601418763841903E-4</v>
      </c>
      <c r="AG25" s="4">
        <f t="shared" si="11"/>
        <v>1.5182918498736413E-3</v>
      </c>
      <c r="AH25" s="4">
        <f t="shared" si="12"/>
        <v>4.5502050263134877E-3</v>
      </c>
    </row>
    <row r="26" spans="1:36" s="4" customFormat="1" ht="16" x14ac:dyDescent="0.2">
      <c r="A26" s="4" t="s">
        <v>9</v>
      </c>
      <c r="B26" s="4" t="s">
        <v>98</v>
      </c>
      <c r="C26" s="4" t="s">
        <v>81</v>
      </c>
      <c r="D26" s="12">
        <v>11.25</v>
      </c>
      <c r="E26" s="12">
        <v>76.75</v>
      </c>
      <c r="F26" s="12">
        <v>3</v>
      </c>
      <c r="G26" s="1" t="s">
        <v>99</v>
      </c>
      <c r="H26" s="4" t="s">
        <v>17</v>
      </c>
      <c r="I26" s="4">
        <v>1972</v>
      </c>
      <c r="J26" s="19">
        <v>1972</v>
      </c>
      <c r="K26" s="19">
        <v>1981</v>
      </c>
      <c r="L26" s="18">
        <v>1664</v>
      </c>
      <c r="M26" s="19">
        <v>1845</v>
      </c>
      <c r="N26" s="19">
        <f t="shared" si="2"/>
        <v>0.9018970189701897</v>
      </c>
      <c r="O26" s="19">
        <f t="shared" si="3"/>
        <v>0.66466346153846156</v>
      </c>
      <c r="P26" s="18">
        <v>1664</v>
      </c>
      <c r="Q26" s="19">
        <v>1845</v>
      </c>
      <c r="R26" s="19">
        <f t="shared" si="13"/>
        <v>0.9018970189701897</v>
      </c>
      <c r="S26" s="19">
        <f t="shared" si="4"/>
        <v>0.59945799457994575</v>
      </c>
      <c r="T26" s="19" t="e">
        <f t="shared" si="0"/>
        <v>#N/A</v>
      </c>
      <c r="U26" s="37">
        <f t="shared" si="5"/>
        <v>0.67438983423147469</v>
      </c>
      <c r="V26" s="37">
        <f t="shared" si="5"/>
        <v>0.68532060095574532</v>
      </c>
      <c r="W26" s="37">
        <f t="shared" si="5"/>
        <v>0.66249108301282944</v>
      </c>
      <c r="X26" s="37">
        <v>1568</v>
      </c>
      <c r="Y26" s="37">
        <v>1106</v>
      </c>
      <c r="Z26" s="37"/>
      <c r="AA26" s="4">
        <f t="shared" si="6"/>
        <v>0.59945799457994575</v>
      </c>
      <c r="AB26" s="4">
        <f t="shared" si="7"/>
        <v>0.68532060095574532</v>
      </c>
      <c r="AC26" s="4">
        <f t="shared" si="8"/>
        <v>-8.5862606375799566E-2</v>
      </c>
      <c r="AD26" s="37">
        <v>1</v>
      </c>
      <c r="AE26" s="4">
        <f t="shared" si="14"/>
        <v>3.7237483343883788E-4</v>
      </c>
      <c r="AF26" s="4">
        <f t="shared" si="10"/>
        <v>4.4309777981577083E-3</v>
      </c>
      <c r="AG26" s="4">
        <f t="shared" si="11"/>
        <v>3.2094665724241985E-3</v>
      </c>
      <c r="AH26" s="4">
        <f t="shared" si="12"/>
        <v>8.5325051790088738E-4</v>
      </c>
    </row>
    <row r="27" spans="1:36" s="23" customFormat="1" ht="16" x14ac:dyDescent="0.2">
      <c r="A27" s="23" t="s">
        <v>9</v>
      </c>
      <c r="B27" s="23" t="s">
        <v>147</v>
      </c>
      <c r="C27" s="23" t="s">
        <v>150</v>
      </c>
      <c r="D27" s="24">
        <v>-37.254170000000002</v>
      </c>
      <c r="E27" s="24">
        <v>-73.187624</v>
      </c>
      <c r="F27" s="24">
        <v>1</v>
      </c>
      <c r="G27" s="25" t="s">
        <v>161</v>
      </c>
      <c r="H27" s="23" t="s">
        <v>17</v>
      </c>
      <c r="I27" s="23">
        <v>1996</v>
      </c>
      <c r="J27" s="19">
        <v>2019</v>
      </c>
      <c r="K27" s="19">
        <v>2019</v>
      </c>
      <c r="L27" s="18">
        <v>1395</v>
      </c>
      <c r="M27" s="19">
        <v>1515</v>
      </c>
      <c r="N27" s="19">
        <f t="shared" si="2"/>
        <v>0.92079207920792083</v>
      </c>
      <c r="O27" s="19">
        <f>Y27/X27</f>
        <v>0.44530783024506876</v>
      </c>
      <c r="P27" s="18">
        <v>1673</v>
      </c>
      <c r="Q27" s="19">
        <v>1467</v>
      </c>
      <c r="R27" s="19">
        <f t="shared" si="13"/>
        <v>1.1404226312201773</v>
      </c>
      <c r="S27" s="19">
        <f t="shared" si="4"/>
        <v>0.50783912747102933</v>
      </c>
      <c r="T27" s="19" t="e">
        <f t="shared" si="0"/>
        <v>#N/A</v>
      </c>
      <c r="U27" s="37">
        <f t="shared" si="5"/>
        <v>0.75700813763889085</v>
      </c>
      <c r="V27" s="37">
        <f t="shared" si="5"/>
        <v>0.76921486427673447</v>
      </c>
      <c r="W27" s="37">
        <f t="shared" si="5"/>
        <v>0.7437128023174413</v>
      </c>
      <c r="X27" s="38">
        <v>1673</v>
      </c>
      <c r="Y27" s="37">
        <v>745</v>
      </c>
      <c r="Z27" s="37">
        <v>450</v>
      </c>
      <c r="AA27" s="23">
        <f t="shared" si="6"/>
        <v>0.50783912747102933</v>
      </c>
      <c r="AB27" s="23">
        <f t="shared" si="7"/>
        <v>0.76921486427673447</v>
      </c>
      <c r="AC27" s="23">
        <f t="shared" si="8"/>
        <v>-0.26137573680570514</v>
      </c>
      <c r="AD27" s="37">
        <v>1</v>
      </c>
      <c r="AE27" s="23">
        <f t="shared" ref="AE27:AE31" si="15">(AA27-AE$3)^2</f>
        <v>1.2302333165689579E-2</v>
      </c>
      <c r="AF27" s="23">
        <f t="shared" ref="AF27" si="16">(AB27-AE$3)^2</f>
        <v>2.2638167520389763E-2</v>
      </c>
      <c r="AG27" s="23">
        <f t="shared" ref="AG27" si="17">(S27-AG$3)^2</f>
        <v>2.1984295751937593E-2</v>
      </c>
      <c r="AH27" s="23">
        <f t="shared" ref="AH27" si="18">(V27-AG$3)^2</f>
        <v>1.2792676673751438E-2</v>
      </c>
    </row>
    <row r="28" spans="1:36" s="23" customFormat="1" ht="16" x14ac:dyDescent="0.2">
      <c r="A28" s="23" t="s">
        <v>9</v>
      </c>
      <c r="B28" s="23" t="s">
        <v>158</v>
      </c>
      <c r="C28" s="23" t="s">
        <v>149</v>
      </c>
      <c r="D28" s="24">
        <v>-37.5</v>
      </c>
      <c r="E28" s="24">
        <v>-73.25</v>
      </c>
      <c r="F28" s="24">
        <v>3</v>
      </c>
      <c r="G28" s="26" t="s">
        <v>157</v>
      </c>
      <c r="H28" s="23" t="s">
        <v>14</v>
      </c>
      <c r="I28" s="23">
        <v>2011</v>
      </c>
      <c r="J28" s="19">
        <v>2016</v>
      </c>
      <c r="K28" s="19">
        <v>2019</v>
      </c>
      <c r="L28" s="19">
        <v>1190</v>
      </c>
      <c r="M28" s="19">
        <v>1350</v>
      </c>
      <c r="N28" s="19">
        <f t="shared" si="2"/>
        <v>0.88148148148148153</v>
      </c>
      <c r="O28" s="19">
        <f>Y28/X28</f>
        <v>0.56910569105691056</v>
      </c>
      <c r="P28" s="18">
        <v>1845</v>
      </c>
      <c r="Q28" s="19">
        <v>1150</v>
      </c>
      <c r="R28" s="19">
        <f t="shared" si="13"/>
        <v>1.6043478260869566</v>
      </c>
      <c r="S28" s="19">
        <f t="shared" ref="S28:S31" si="19">IF(A28="Euc",AA28,NA())</f>
        <v>0.91304347826086951</v>
      </c>
      <c r="T28" s="19" t="e">
        <f t="shared" ref="T28:T31" si="20">IF(ISNA(S28),AA28,NA())</f>
        <v>#N/A</v>
      </c>
      <c r="U28" s="37">
        <f t="shared" si="5"/>
        <v>0.85183800659127895</v>
      </c>
      <c r="V28" s="37">
        <f t="shared" si="5"/>
        <v>0.86362578618254182</v>
      </c>
      <c r="W28" s="37">
        <f t="shared" si="5"/>
        <v>0.83878675983975093</v>
      </c>
      <c r="X28" s="38">
        <v>1845</v>
      </c>
      <c r="Y28" s="37">
        <v>1050</v>
      </c>
      <c r="Z28" s="37"/>
      <c r="AA28" s="23">
        <f t="shared" si="6"/>
        <v>0.91304347826086951</v>
      </c>
      <c r="AB28" s="23">
        <f t="shared" si="7"/>
        <v>0.86362578618254182</v>
      </c>
      <c r="AC28" s="23">
        <f t="shared" si="8"/>
        <v>4.9417692078327691E-2</v>
      </c>
      <c r="AD28" s="37">
        <v>3</v>
      </c>
      <c r="AE28" s="23">
        <f t="shared" si="15"/>
        <v>8.6605702104230506E-2</v>
      </c>
      <c r="AF28" s="23">
        <f t="shared" ref="AF28:AF29" si="21">(AB28-AE$3)^2</f>
        <v>5.9961696656220115E-2</v>
      </c>
      <c r="AG28" s="23">
        <f t="shared" ref="AG28:AG29" si="22">(S28-AG$3)^2</f>
        <v>6.6014735812105166E-2</v>
      </c>
      <c r="AH28" s="23">
        <f t="shared" ref="AH28:AH29" si="23">(V28-AG$3)^2</f>
        <v>4.3062739777874441E-2</v>
      </c>
    </row>
    <row r="29" spans="1:36" s="23" customFormat="1" ht="16" x14ac:dyDescent="0.2">
      <c r="A29" s="23" t="s">
        <v>9</v>
      </c>
      <c r="B29" s="23" t="s">
        <v>159</v>
      </c>
      <c r="C29" s="23" t="s">
        <v>149</v>
      </c>
      <c r="D29" s="24">
        <v>-37.5</v>
      </c>
      <c r="E29" s="24">
        <v>-73.25</v>
      </c>
      <c r="F29" s="24">
        <v>3</v>
      </c>
      <c r="G29" s="26" t="s">
        <v>157</v>
      </c>
      <c r="H29" s="23" t="s">
        <v>14</v>
      </c>
      <c r="I29" s="23">
        <v>2011</v>
      </c>
      <c r="J29" s="19">
        <v>2016</v>
      </c>
      <c r="K29" s="19">
        <v>2019</v>
      </c>
      <c r="L29" s="19">
        <v>1190</v>
      </c>
      <c r="M29" s="19">
        <v>1350</v>
      </c>
      <c r="N29" s="19">
        <f t="shared" si="2"/>
        <v>0.88148148148148153</v>
      </c>
      <c r="O29" s="19">
        <f>Y29/X29</f>
        <v>0.50948509485094851</v>
      </c>
      <c r="P29" s="18">
        <v>1845</v>
      </c>
      <c r="Q29" s="19">
        <v>1150</v>
      </c>
      <c r="R29" s="19">
        <f t="shared" si="13"/>
        <v>1.6043478260869566</v>
      </c>
      <c r="S29" s="19">
        <f t="shared" si="19"/>
        <v>0.81739130434782614</v>
      </c>
      <c r="T29" s="19" t="e">
        <f t="shared" si="20"/>
        <v>#N/A</v>
      </c>
      <c r="U29" s="37">
        <f t="shared" si="5"/>
        <v>0.85183800659127895</v>
      </c>
      <c r="V29" s="37">
        <f t="shared" si="5"/>
        <v>0.86362578618254182</v>
      </c>
      <c r="W29" s="37">
        <f t="shared" si="5"/>
        <v>0.83878675983975093</v>
      </c>
      <c r="X29" s="38">
        <v>1845</v>
      </c>
      <c r="Y29" s="37">
        <v>940</v>
      </c>
      <c r="Z29" s="37"/>
      <c r="AA29" s="23">
        <f t="shared" si="6"/>
        <v>0.81739130434782614</v>
      </c>
      <c r="AB29" s="23">
        <f t="shared" si="7"/>
        <v>0.86362578618254182</v>
      </c>
      <c r="AC29" s="23">
        <f t="shared" si="8"/>
        <v>-4.6234481834715679E-2</v>
      </c>
      <c r="AD29" s="37">
        <v>3</v>
      </c>
      <c r="AE29" s="23">
        <f t="shared" si="15"/>
        <v>3.9456377130457673E-2</v>
      </c>
      <c r="AF29" s="23">
        <f t="shared" si="21"/>
        <v>5.9961696656220115E-2</v>
      </c>
      <c r="AG29" s="23">
        <f t="shared" si="22"/>
        <v>2.6011611150068878E-2</v>
      </c>
      <c r="AH29" s="23">
        <f t="shared" si="23"/>
        <v>4.3062739777874441E-2</v>
      </c>
    </row>
    <row r="30" spans="1:36" s="21" customFormat="1" ht="16" x14ac:dyDescent="0.2">
      <c r="A30" s="21" t="s">
        <v>9</v>
      </c>
      <c r="B30" s="21" t="s">
        <v>166</v>
      </c>
      <c r="C30" s="21" t="s">
        <v>322</v>
      </c>
      <c r="D30" s="22">
        <v>-37.25</v>
      </c>
      <c r="E30" s="22">
        <v>-72.75</v>
      </c>
      <c r="F30" s="24">
        <v>3</v>
      </c>
      <c r="G30" s="31" t="s">
        <v>164</v>
      </c>
      <c r="H30" s="21" t="s">
        <v>17</v>
      </c>
      <c r="I30" s="21">
        <v>2006</v>
      </c>
      <c r="J30" s="19">
        <v>2008</v>
      </c>
      <c r="K30" s="19">
        <v>2017</v>
      </c>
      <c r="L30" s="19">
        <v>959</v>
      </c>
      <c r="M30" s="19">
        <v>1587</v>
      </c>
      <c r="N30" s="19">
        <f t="shared" si="2"/>
        <v>0.60428481411468182</v>
      </c>
      <c r="O30" s="19">
        <f>Y30/X30</f>
        <v>0.74512860483242405</v>
      </c>
      <c r="P30" s="18">
        <f>X30</f>
        <v>1283</v>
      </c>
      <c r="Q30" s="19">
        <v>1600</v>
      </c>
      <c r="R30" s="19">
        <f t="shared" si="13"/>
        <v>0.801875</v>
      </c>
      <c r="S30" s="19">
        <f t="shared" si="19"/>
        <v>0.59750000000000003</v>
      </c>
      <c r="T30" s="19" t="e">
        <f t="shared" si="20"/>
        <v>#N/A</v>
      </c>
      <c r="U30" s="37">
        <f t="shared" si="5"/>
        <v>0.62951161484863771</v>
      </c>
      <c r="V30" s="37">
        <f t="shared" si="5"/>
        <v>0.63941816914663785</v>
      </c>
      <c r="W30" s="37">
        <f t="shared" si="5"/>
        <v>0.61869251219552401</v>
      </c>
      <c r="X30" s="38">
        <v>1283</v>
      </c>
      <c r="Y30" s="37">
        <v>956</v>
      </c>
      <c r="Z30" s="37"/>
      <c r="AA30" s="21">
        <f t="shared" si="6"/>
        <v>0.59750000000000003</v>
      </c>
      <c r="AB30" s="21">
        <f t="shared" si="7"/>
        <v>0.63941816914663785</v>
      </c>
      <c r="AC30" s="21">
        <f t="shared" si="8"/>
        <v>-4.1918169146637818E-2</v>
      </c>
      <c r="AD30" s="37">
        <v>4</v>
      </c>
      <c r="AE30" s="21">
        <f t="shared" si="15"/>
        <v>4.5177548239181195E-4</v>
      </c>
      <c r="AF30" s="21">
        <f t="shared" ref="AF30:AF31" si="24">(AB30-AE$3)^2</f>
        <v>4.2696611452674175E-4</v>
      </c>
      <c r="AG30" s="21">
        <f t="shared" ref="AG30:AG31" si="25">(S30-AG$3)^2</f>
        <v>3.4351495368246687E-3</v>
      </c>
      <c r="AH30" s="21">
        <f t="shared" ref="AH30:AH31" si="26">(V30-AG$3)^2</f>
        <v>2.7862218317234206E-4</v>
      </c>
    </row>
    <row r="31" spans="1:36" s="21" customFormat="1" ht="16" x14ac:dyDescent="0.2">
      <c r="A31" s="21" t="s">
        <v>9</v>
      </c>
      <c r="B31" s="21" t="s">
        <v>167</v>
      </c>
      <c r="C31" s="21" t="s">
        <v>322</v>
      </c>
      <c r="D31" s="22">
        <v>-37.25</v>
      </c>
      <c r="E31" s="22">
        <v>-72.75</v>
      </c>
      <c r="F31" s="24">
        <v>3</v>
      </c>
      <c r="G31" s="31" t="s">
        <v>164</v>
      </c>
      <c r="H31" s="21" t="s">
        <v>17</v>
      </c>
      <c r="I31" s="21">
        <v>2000</v>
      </c>
      <c r="J31" s="19">
        <v>2008</v>
      </c>
      <c r="K31" s="19">
        <v>2017</v>
      </c>
      <c r="L31" s="19">
        <v>959</v>
      </c>
      <c r="M31" s="19">
        <v>1587</v>
      </c>
      <c r="N31" s="19">
        <f t="shared" ref="N31" si="27">L31/M31</f>
        <v>0.60428481411468182</v>
      </c>
      <c r="O31" s="19">
        <f>Y31/X31</f>
        <v>0.86031746031746037</v>
      </c>
      <c r="P31" s="18">
        <v>1260</v>
      </c>
      <c r="Q31" s="19">
        <v>1600</v>
      </c>
      <c r="R31" s="19">
        <f t="shared" si="13"/>
        <v>0.78749999999999998</v>
      </c>
      <c r="S31" s="19">
        <f t="shared" si="19"/>
        <v>0.67749999999999999</v>
      </c>
      <c r="T31" s="19" t="e">
        <f t="shared" si="20"/>
        <v>#N/A</v>
      </c>
      <c r="U31" s="37">
        <f t="shared" si="5"/>
        <v>0.62248445629164761</v>
      </c>
      <c r="V31" s="37">
        <f t="shared" si="5"/>
        <v>0.6322182405578598</v>
      </c>
      <c r="W31" s="37">
        <f t="shared" si="5"/>
        <v>0.61184661461604173</v>
      </c>
      <c r="X31" s="38">
        <v>1260</v>
      </c>
      <c r="Y31" s="37">
        <v>1084</v>
      </c>
      <c r="Z31" s="37"/>
      <c r="AA31" s="21">
        <f t="shared" si="6"/>
        <v>0.67749999999999999</v>
      </c>
      <c r="AB31" s="21">
        <f t="shared" ref="AB31" si="28">V31</f>
        <v>0.6322182405578598</v>
      </c>
      <c r="AC31" s="21">
        <f t="shared" ref="AC31" si="29">AA31-AB31</f>
        <v>4.528175944214019E-2</v>
      </c>
      <c r="AD31" s="37">
        <v>4</v>
      </c>
      <c r="AE31" s="21">
        <f t="shared" si="15"/>
        <v>3.4509737608516664E-3</v>
      </c>
      <c r="AF31" s="21">
        <f t="shared" si="24"/>
        <v>1.8125855660005292E-4</v>
      </c>
      <c r="AG31" s="21">
        <f t="shared" si="25"/>
        <v>4.5752573637758789E-4</v>
      </c>
      <c r="AH31" s="21">
        <f t="shared" si="26"/>
        <v>5.7082327719517711E-4</v>
      </c>
    </row>
    <row r="32" spans="1:36" ht="16" x14ac:dyDescent="0.2">
      <c r="A32" s="2" t="s">
        <v>18</v>
      </c>
      <c r="B32" s="4" t="s">
        <v>104</v>
      </c>
      <c r="C32" s="4" t="s">
        <v>66</v>
      </c>
      <c r="D32" s="8">
        <v>-37.739166666666669</v>
      </c>
      <c r="E32" s="8">
        <v>140.79388888888889</v>
      </c>
      <c r="F32" s="8">
        <v>1</v>
      </c>
      <c r="G32" s="1" t="s">
        <v>58</v>
      </c>
      <c r="H32"/>
      <c r="I32" s="10">
        <v>1982</v>
      </c>
      <c r="J32" s="42">
        <v>1996</v>
      </c>
      <c r="K32" s="42">
        <v>2000</v>
      </c>
      <c r="L32" s="16">
        <v>705.74736842105267</v>
      </c>
      <c r="M32" s="16">
        <v>1496.7407003560481</v>
      </c>
      <c r="N32" s="19">
        <f t="shared" si="2"/>
        <v>0.47152280168045663</v>
      </c>
      <c r="O32" s="19">
        <f t="shared" si="3"/>
        <v>0.90391697355205891</v>
      </c>
      <c r="P32" s="15">
        <v>716.88</v>
      </c>
      <c r="Q32" s="16">
        <v>1492.3419737581505</v>
      </c>
      <c r="R32" s="19">
        <f t="shared" si="13"/>
        <v>0.48037246998735011</v>
      </c>
      <c r="S32" s="19" t="e">
        <f t="shared" si="4"/>
        <v>#N/A</v>
      </c>
      <c r="T32" s="19">
        <f t="shared" si="0"/>
        <v>0.43421682924869276</v>
      </c>
      <c r="U32" s="37">
        <f t="shared" si="5"/>
        <v>0.43336481018178397</v>
      </c>
      <c r="V32" s="37">
        <f t="shared" si="5"/>
        <v>0.43823262674734864</v>
      </c>
      <c r="W32" s="37">
        <f t="shared" si="5"/>
        <v>0.42786240270778975</v>
      </c>
      <c r="X32" s="36">
        <v>678</v>
      </c>
      <c r="Y32" s="36">
        <v>648</v>
      </c>
      <c r="Z32" s="36">
        <v>395</v>
      </c>
      <c r="AA32" s="4">
        <f t="shared" ref="AA32:AA60" si="30">Y32/Q32</f>
        <v>0.43421682924869276</v>
      </c>
      <c r="AB32" s="4">
        <f>W32</f>
        <v>0.42786240270778975</v>
      </c>
      <c r="AC32" s="4">
        <f t="shared" si="8"/>
        <v>6.3544265409030132E-3</v>
      </c>
      <c r="AD32" s="36">
        <v>8.9</v>
      </c>
      <c r="AE32" s="4">
        <f t="shared" si="14"/>
        <v>3.405434043536211E-2</v>
      </c>
      <c r="AF32" s="4">
        <f t="shared" si="10"/>
        <v>3.6439987808831946E-2</v>
      </c>
      <c r="AI32" s="4">
        <f>(T32-AI$3)^2</f>
        <v>1.155370254208174E-2</v>
      </c>
      <c r="AJ32" s="4">
        <f>(W32-AI$3)^2</f>
        <v>1.296013239409631E-2</v>
      </c>
    </row>
    <row r="33" spans="1:36" ht="16" x14ac:dyDescent="0.2">
      <c r="A33" s="2" t="s">
        <v>18</v>
      </c>
      <c r="B33" s="4" t="s">
        <v>105</v>
      </c>
      <c r="C33" s="4" t="s">
        <v>66</v>
      </c>
      <c r="D33" s="8">
        <v>-37.739166666666669</v>
      </c>
      <c r="E33" s="8">
        <v>140.79388888888889</v>
      </c>
      <c r="F33" s="8">
        <v>1</v>
      </c>
      <c r="G33" s="1" t="s">
        <v>58</v>
      </c>
      <c r="H33" s="4" t="s">
        <v>60</v>
      </c>
      <c r="I33" s="10">
        <v>1980</v>
      </c>
      <c r="J33" s="42">
        <v>2000</v>
      </c>
      <c r="K33" s="42">
        <v>2004</v>
      </c>
      <c r="L33" s="16">
        <v>720.12</v>
      </c>
      <c r="M33" s="16">
        <v>1505.3344591639707</v>
      </c>
      <c r="N33" s="19">
        <f t="shared" si="2"/>
        <v>0.47837873876875087</v>
      </c>
      <c r="O33" s="19">
        <f t="shared" si="3"/>
        <v>1.008601659435183</v>
      </c>
      <c r="P33" s="15">
        <v>788.22</v>
      </c>
      <c r="Q33" s="16">
        <v>1536.6163003327351</v>
      </c>
      <c r="R33" s="19">
        <f t="shared" si="13"/>
        <v>0.51295824457238981</v>
      </c>
      <c r="S33" s="19" t="e">
        <f t="shared" si="4"/>
        <v>#N/A</v>
      </c>
      <c r="T33" s="19">
        <f t="shared" si="0"/>
        <v>0.51737053669667088</v>
      </c>
      <c r="U33" s="37">
        <f t="shared" si="5"/>
        <v>0.45711201121344125</v>
      </c>
      <c r="V33" s="37">
        <f t="shared" si="5"/>
        <v>0.46255588997431896</v>
      </c>
      <c r="W33" s="37">
        <f t="shared" si="5"/>
        <v>0.45099308392757553</v>
      </c>
      <c r="X33" s="36">
        <v>667</v>
      </c>
      <c r="Y33" s="36">
        <v>795</v>
      </c>
      <c r="Z33" s="36">
        <v>410</v>
      </c>
      <c r="AA33" s="4">
        <f t="shared" si="30"/>
        <v>0.51737053669667088</v>
      </c>
      <c r="AB33" s="4">
        <f t="shared" ref="AB33:AB60" si="31">W33</f>
        <v>0.45099308392757553</v>
      </c>
      <c r="AC33" s="4">
        <f t="shared" si="8"/>
        <v>6.6377452769095346E-2</v>
      </c>
      <c r="AD33" s="36">
        <v>8.5</v>
      </c>
      <c r="AE33" s="4">
        <f t="shared" si="14"/>
        <v>1.0278811581022002E-2</v>
      </c>
      <c r="AF33" s="4">
        <f t="shared" si="10"/>
        <v>2.8144064094402226E-2</v>
      </c>
      <c r="AI33" s="4">
        <f t="shared" ref="AI33:AI55" si="32">(T33-AI$3)^2</f>
        <v>5.9216512865207138E-4</v>
      </c>
      <c r="AJ33" s="4">
        <f t="shared" ref="AJ33:AJ55" si="33">(W33-AI$3)^2</f>
        <v>8.2286480807382944E-3</v>
      </c>
    </row>
    <row r="34" spans="1:36" ht="16" x14ac:dyDescent="0.2">
      <c r="A34" s="2" t="s">
        <v>18</v>
      </c>
      <c r="B34" s="4" t="s">
        <v>106</v>
      </c>
      <c r="C34" s="4" t="s">
        <v>66</v>
      </c>
      <c r="D34" s="8">
        <v>-37.739166666666669</v>
      </c>
      <c r="E34" s="8">
        <v>140.79388888888889</v>
      </c>
      <c r="F34" s="8">
        <v>1</v>
      </c>
      <c r="G34" s="1" t="s">
        <v>58</v>
      </c>
      <c r="H34" s="4" t="s">
        <v>60</v>
      </c>
      <c r="I34" s="10">
        <v>1975</v>
      </c>
      <c r="J34" s="42">
        <v>2000</v>
      </c>
      <c r="K34" s="42">
        <v>2004</v>
      </c>
      <c r="L34" s="16">
        <v>719.75</v>
      </c>
      <c r="M34" s="16">
        <v>1505.5054804425965</v>
      </c>
      <c r="N34" s="19">
        <f t="shared" si="2"/>
        <v>0.47807863162902869</v>
      </c>
      <c r="O34" s="19">
        <f t="shared" si="3"/>
        <v>0.80561264621552353</v>
      </c>
      <c r="P34" s="15">
        <v>788.22</v>
      </c>
      <c r="Q34" s="16">
        <v>1536.6163003327351</v>
      </c>
      <c r="R34" s="19">
        <f t="shared" si="13"/>
        <v>0.51295824457238981</v>
      </c>
      <c r="S34" s="19" t="e">
        <f t="shared" si="4"/>
        <v>#N/A</v>
      </c>
      <c r="T34" s="19">
        <f t="shared" si="0"/>
        <v>0.41324564880803272</v>
      </c>
      <c r="U34" s="37">
        <f t="shared" si="5"/>
        <v>0.45711201121344125</v>
      </c>
      <c r="V34" s="37">
        <f t="shared" si="5"/>
        <v>0.46255588997431896</v>
      </c>
      <c r="W34" s="37">
        <f t="shared" si="5"/>
        <v>0.45099308392757553</v>
      </c>
      <c r="X34" s="36">
        <v>724</v>
      </c>
      <c r="Y34" s="36">
        <v>635</v>
      </c>
      <c r="Z34" s="36">
        <v>380</v>
      </c>
      <c r="AA34" s="4">
        <f t="shared" si="30"/>
        <v>0.41324564880803272</v>
      </c>
      <c r="AB34" s="4">
        <f t="shared" si="31"/>
        <v>0.45099308392757553</v>
      </c>
      <c r="AC34" s="4">
        <f t="shared" si="8"/>
        <v>-3.7747435119542816E-2</v>
      </c>
      <c r="AD34" s="36">
        <v>23</v>
      </c>
      <c r="AE34" s="4">
        <f t="shared" si="14"/>
        <v>4.2234097849750941E-2</v>
      </c>
      <c r="AF34" s="4">
        <f t="shared" si="10"/>
        <v>2.8144064094402226E-2</v>
      </c>
      <c r="AI34" s="4">
        <f t="shared" si="32"/>
        <v>1.6501799758510988E-2</v>
      </c>
      <c r="AJ34" s="4">
        <f t="shared" si="33"/>
        <v>8.2286480807382944E-3</v>
      </c>
    </row>
    <row r="35" spans="1:36" ht="16" x14ac:dyDescent="0.2">
      <c r="A35" s="2" t="s">
        <v>18</v>
      </c>
      <c r="B35" s="4" t="s">
        <v>107</v>
      </c>
      <c r="C35" s="4" t="s">
        <v>66</v>
      </c>
      <c r="D35" s="8">
        <v>-37.739166666666669</v>
      </c>
      <c r="E35" s="8">
        <v>140.79388888888889</v>
      </c>
      <c r="F35" s="8">
        <v>1</v>
      </c>
      <c r="G35" s="1" t="s">
        <v>58</v>
      </c>
      <c r="H35" s="4" t="s">
        <v>60</v>
      </c>
      <c r="I35" s="10">
        <v>1978</v>
      </c>
      <c r="J35" s="42">
        <v>1999</v>
      </c>
      <c r="K35" s="42">
        <v>2003</v>
      </c>
      <c r="L35" s="16">
        <v>712.83846153846162</v>
      </c>
      <c r="M35" s="16">
        <v>1505.5696257056975</v>
      </c>
      <c r="N35" s="19">
        <f t="shared" si="2"/>
        <v>0.47346761608871907</v>
      </c>
      <c r="O35" s="19">
        <f t="shared" si="3"/>
        <v>0.71597146721115856</v>
      </c>
      <c r="P35" s="15">
        <v>754.22</v>
      </c>
      <c r="Q35" s="16">
        <v>1526.0449722331091</v>
      </c>
      <c r="R35" s="19">
        <f t="shared" si="13"/>
        <v>0.49423183046586527</v>
      </c>
      <c r="S35" s="19" t="e">
        <f t="shared" si="4"/>
        <v>#N/A</v>
      </c>
      <c r="T35" s="19">
        <f t="shared" si="0"/>
        <v>0.35385588880110208</v>
      </c>
      <c r="U35" s="37">
        <f t="shared" si="5"/>
        <v>0.44357241743592235</v>
      </c>
      <c r="V35" s="37">
        <f t="shared" si="5"/>
        <v>0.44868505207316867</v>
      </c>
      <c r="W35" s="37">
        <f t="shared" si="5"/>
        <v>0.4378075567188171</v>
      </c>
      <c r="X35" s="36">
        <v>600</v>
      </c>
      <c r="Y35" s="36">
        <v>540</v>
      </c>
      <c r="Z35" s="36">
        <v>270</v>
      </c>
      <c r="AA35" s="4">
        <f t="shared" si="30"/>
        <v>0.35385588880110208</v>
      </c>
      <c r="AB35" s="4">
        <f t="shared" si="31"/>
        <v>0.4378075567188171</v>
      </c>
      <c r="AC35" s="4">
        <f t="shared" si="8"/>
        <v>-8.3951667917715023E-2</v>
      </c>
      <c r="AD35" s="36">
        <v>21</v>
      </c>
      <c r="AE35" s="4">
        <f t="shared" si="14"/>
        <v>7.0171544814396886E-2</v>
      </c>
      <c r="AF35" s="4">
        <f t="shared" si="10"/>
        <v>3.2741981123850614E-2</v>
      </c>
      <c r="AI35" s="4">
        <f t="shared" si="32"/>
        <v>3.5287281047030737E-2</v>
      </c>
      <c r="AJ35" s="4">
        <f t="shared" si="33"/>
        <v>1.0794674554944456E-2</v>
      </c>
    </row>
    <row r="36" spans="1:36" ht="16" x14ac:dyDescent="0.2">
      <c r="A36" s="2" t="s">
        <v>18</v>
      </c>
      <c r="B36" s="4" t="s">
        <v>75</v>
      </c>
      <c r="C36" s="4" t="s">
        <v>76</v>
      </c>
      <c r="D36" s="8">
        <v>-25.283333333333335</v>
      </c>
      <c r="E36" s="8">
        <v>30.566666666666666</v>
      </c>
      <c r="F36" s="8">
        <v>3</v>
      </c>
      <c r="G36" s="1" t="s">
        <v>79</v>
      </c>
      <c r="H36" s="4" t="s">
        <v>61</v>
      </c>
      <c r="I36" s="10">
        <v>1969</v>
      </c>
      <c r="J36" s="42">
        <v>1973</v>
      </c>
      <c r="K36" s="42">
        <v>1989</v>
      </c>
      <c r="L36" s="16">
        <v>992.16666666666663</v>
      </c>
      <c r="M36" s="16">
        <v>1797.5911178973499</v>
      </c>
      <c r="N36" s="19">
        <f t="shared" si="2"/>
        <v>0.55194235039790818</v>
      </c>
      <c r="O36" s="19">
        <f t="shared" si="3"/>
        <v>1.199507970058195</v>
      </c>
      <c r="P36" s="15">
        <v>963.13529411764716</v>
      </c>
      <c r="Q36" s="16">
        <v>1786.9761903632339</v>
      </c>
      <c r="R36" s="19">
        <f t="shared" si="13"/>
        <v>0.53897488915164182</v>
      </c>
      <c r="S36" s="19" t="e">
        <f t="shared" si="4"/>
        <v>#N/A</v>
      </c>
      <c r="T36" s="19">
        <f t="shared" si="0"/>
        <v>0.64650467519862653</v>
      </c>
      <c r="U36" s="37">
        <f t="shared" si="5"/>
        <v>0.47543802530815849</v>
      </c>
      <c r="V36" s="37">
        <f t="shared" si="5"/>
        <v>0.48134088592773905</v>
      </c>
      <c r="W36" s="37">
        <f t="shared" si="5"/>
        <v>0.4688303001999905</v>
      </c>
      <c r="X36" s="36">
        <v>1167.0076923076924</v>
      </c>
      <c r="Y36" s="36">
        <v>1155.2884615384614</v>
      </c>
      <c r="AA36" s="4">
        <f t="shared" si="30"/>
        <v>0.64650467519862653</v>
      </c>
      <c r="AB36" s="4">
        <f t="shared" si="31"/>
        <v>0.4688303001999905</v>
      </c>
      <c r="AC36" s="4">
        <f t="shared" si="8"/>
        <v>0.17767437499863603</v>
      </c>
      <c r="AD36" s="36">
        <v>30</v>
      </c>
      <c r="AE36" s="4">
        <f t="shared" si="14"/>
        <v>7.7004387647713565E-4</v>
      </c>
      <c r="AF36" s="4">
        <f t="shared" si="10"/>
        <v>2.2477418836390452E-2</v>
      </c>
      <c r="AI36" s="4">
        <f t="shared" si="32"/>
        <v>1.0982976123332572E-2</v>
      </c>
      <c r="AJ36" s="4">
        <f t="shared" si="33"/>
        <v>5.3107189492731018E-3</v>
      </c>
    </row>
    <row r="37" spans="1:36" ht="16" x14ac:dyDescent="0.2">
      <c r="A37" s="2" t="s">
        <v>18</v>
      </c>
      <c r="B37" s="4" t="s">
        <v>100</v>
      </c>
      <c r="C37" s="4" t="s">
        <v>101</v>
      </c>
      <c r="D37" s="8">
        <v>35.978166666666667</v>
      </c>
      <c r="E37" s="8">
        <v>-79.09418888888888</v>
      </c>
      <c r="F37" s="8">
        <v>4</v>
      </c>
      <c r="G37" s="1" t="s">
        <v>102</v>
      </c>
      <c r="H37" s="4" t="s">
        <v>62</v>
      </c>
      <c r="I37" s="10">
        <v>1983</v>
      </c>
      <c r="J37" s="42">
        <v>2001</v>
      </c>
      <c r="K37" s="42">
        <v>2004</v>
      </c>
      <c r="L37" s="16">
        <v>1166.1136363636363</v>
      </c>
      <c r="M37" s="16">
        <v>1476.122026451586</v>
      </c>
      <c r="N37" s="19">
        <f t="shared" si="2"/>
        <v>0.78998457814956435</v>
      </c>
      <c r="O37" s="19">
        <f t="shared" si="3"/>
        <v>0.57737893667456819</v>
      </c>
      <c r="P37" s="15">
        <v>1181.2</v>
      </c>
      <c r="Q37" s="16">
        <v>1476.9271665980557</v>
      </c>
      <c r="R37" s="19">
        <f t="shared" si="13"/>
        <v>0.79976861873342631</v>
      </c>
      <c r="S37" s="19" t="e">
        <f t="shared" si="4"/>
        <v>#N/A</v>
      </c>
      <c r="T37" s="19">
        <f t="shared" si="0"/>
        <v>0.46176955466999386</v>
      </c>
      <c r="U37" s="37">
        <f t="shared" si="5"/>
        <v>0.62849133751339092</v>
      </c>
      <c r="V37" s="37">
        <f t="shared" si="5"/>
        <v>0.63837297351469235</v>
      </c>
      <c r="W37" s="37">
        <f t="shared" si="5"/>
        <v>0.6176983865110528</v>
      </c>
      <c r="X37" s="36">
        <v>1091.75</v>
      </c>
      <c r="Y37" s="36">
        <v>682</v>
      </c>
      <c r="AA37" s="4">
        <f t="shared" si="30"/>
        <v>0.46176955466999386</v>
      </c>
      <c r="AB37" s="4">
        <f t="shared" si="31"/>
        <v>0.6176983865110528</v>
      </c>
      <c r="AC37" s="4">
        <f t="shared" si="8"/>
        <v>-0.15592883184105893</v>
      </c>
      <c r="AD37" s="36">
        <v>0.35</v>
      </c>
      <c r="AE37" s="4">
        <f t="shared" si="14"/>
        <v>2.4644433423669791E-2</v>
      </c>
      <c r="AF37" s="4">
        <f t="shared" si="10"/>
        <v>1.1164548026726947E-6</v>
      </c>
      <c r="AI37" s="4">
        <f t="shared" si="32"/>
        <v>6.3896722153608801E-3</v>
      </c>
      <c r="AJ37" s="4">
        <f t="shared" si="33"/>
        <v>5.7749978401208423E-3</v>
      </c>
    </row>
    <row r="38" spans="1:36" ht="16" x14ac:dyDescent="0.2">
      <c r="A38" s="2" t="s">
        <v>18</v>
      </c>
      <c r="B38" s="4" t="s">
        <v>19</v>
      </c>
      <c r="C38" s="4" t="s">
        <v>108</v>
      </c>
      <c r="D38" s="8">
        <v>-33.966666666666669</v>
      </c>
      <c r="E38" s="8">
        <v>18.933333333333334</v>
      </c>
      <c r="F38" s="8">
        <v>3</v>
      </c>
      <c r="G38" s="1" t="s">
        <v>85</v>
      </c>
      <c r="H38" s="4" t="s">
        <v>60</v>
      </c>
      <c r="I38" s="10">
        <v>1948</v>
      </c>
      <c r="J38" s="42">
        <v>1978</v>
      </c>
      <c r="K38" s="42">
        <v>1988</v>
      </c>
      <c r="L38" s="16">
        <v>634.56585365853664</v>
      </c>
      <c r="M38" s="16">
        <v>1414.5947571153336</v>
      </c>
      <c r="N38" s="19">
        <f t="shared" si="2"/>
        <v>0.44858490423968095</v>
      </c>
      <c r="O38" s="19">
        <f t="shared" si="3"/>
        <v>0.58002077416175324</v>
      </c>
      <c r="P38" s="15">
        <v>611.9545454545455</v>
      </c>
      <c r="Q38" s="16">
        <v>1423.9404621281619</v>
      </c>
      <c r="R38" s="19">
        <f t="shared" si="13"/>
        <v>0.42976132902350694</v>
      </c>
      <c r="S38" s="19" t="e">
        <f t="shared" si="4"/>
        <v>#N/A</v>
      </c>
      <c r="T38" s="19">
        <f t="shared" si="0"/>
        <v>0.24927049876499843</v>
      </c>
      <c r="U38" s="37">
        <f t="shared" si="5"/>
        <v>0.39475453465604304</v>
      </c>
      <c r="V38" s="37">
        <f t="shared" si="5"/>
        <v>0.39873940306512767</v>
      </c>
      <c r="W38" s="37">
        <f t="shared" si="5"/>
        <v>0.3902048117907384</v>
      </c>
      <c r="X38" s="36">
        <v>642.87777777777785</v>
      </c>
      <c r="Y38" s="36">
        <v>354.94634920634928</v>
      </c>
      <c r="AA38" s="4">
        <f t="shared" si="30"/>
        <v>0.24927049876499843</v>
      </c>
      <c r="AB38" s="4">
        <f t="shared" si="31"/>
        <v>0.3902048117907384</v>
      </c>
      <c r="AC38" s="4">
        <f t="shared" si="8"/>
        <v>-0.14093431302573997</v>
      </c>
      <c r="AD38" s="36">
        <v>5</v>
      </c>
      <c r="AE38" s="4">
        <f t="shared" si="14"/>
        <v>0.13651880460390803</v>
      </c>
      <c r="AF38" s="4">
        <f t="shared" si="10"/>
        <v>5.2235193448718069E-2</v>
      </c>
      <c r="AI38" s="4">
        <f t="shared" si="32"/>
        <v>8.5517925788375471E-2</v>
      </c>
      <c r="AJ38" s="4">
        <f t="shared" si="33"/>
        <v>2.295230095354573E-2</v>
      </c>
    </row>
    <row r="39" spans="1:36" ht="16" x14ac:dyDescent="0.2">
      <c r="A39" s="2" t="s">
        <v>18</v>
      </c>
      <c r="B39" s="4" t="s">
        <v>20</v>
      </c>
      <c r="C39" s="4" t="s">
        <v>109</v>
      </c>
      <c r="D39" s="8">
        <v>-28.916666666666668</v>
      </c>
      <c r="E39" s="8">
        <v>29.133333333333301</v>
      </c>
      <c r="F39" s="8">
        <v>3</v>
      </c>
      <c r="G39" s="1" t="s">
        <v>85</v>
      </c>
      <c r="H39" s="4" t="s">
        <v>61</v>
      </c>
      <c r="I39" s="10">
        <v>1952</v>
      </c>
      <c r="J39" s="42">
        <v>1978</v>
      </c>
      <c r="K39" s="42">
        <v>1988</v>
      </c>
      <c r="L39" s="16">
        <v>863.41081081081063</v>
      </c>
      <c r="M39" s="16">
        <v>1632.4569980864785</v>
      </c>
      <c r="N39" s="19">
        <f t="shared" si="2"/>
        <v>0.52890263683691341</v>
      </c>
      <c r="O39" s="19">
        <f t="shared" si="3"/>
        <v>0.60483865508292911</v>
      </c>
      <c r="P39" s="15">
        <v>805.72727272727275</v>
      </c>
      <c r="Q39" s="16">
        <v>1631.5171631270932</v>
      </c>
      <c r="R39" s="19">
        <f t="shared" si="13"/>
        <v>0.49385154562698741</v>
      </c>
      <c r="S39" s="19" t="e">
        <f t="shared" si="4"/>
        <v>#N/A</v>
      </c>
      <c r="T39" s="19">
        <f t="shared" si="0"/>
        <v>0.29870050466765286</v>
      </c>
      <c r="U39" s="37">
        <f t="shared" si="5"/>
        <v>0.44329445027530201</v>
      </c>
      <c r="V39" s="37">
        <f t="shared" si="5"/>
        <v>0.44840036053908938</v>
      </c>
      <c r="W39" s="37">
        <f t="shared" si="5"/>
        <v>0.43753678935334217</v>
      </c>
      <c r="X39" s="36">
        <v>886.17500000000007</v>
      </c>
      <c r="Y39" s="36">
        <v>487.33500000000009</v>
      </c>
      <c r="AA39" s="4">
        <f t="shared" si="30"/>
        <v>0.29870050466765286</v>
      </c>
      <c r="AB39" s="4">
        <f t="shared" si="31"/>
        <v>0.43753678935334217</v>
      </c>
      <c r="AC39" s="4">
        <f t="shared" si="8"/>
        <v>-0.13883628468568932</v>
      </c>
      <c r="AD39" s="36">
        <v>5</v>
      </c>
      <c r="AE39" s="4">
        <f t="shared" si="14"/>
        <v>0.10243488686977682</v>
      </c>
      <c r="AF39" s="4">
        <f t="shared" si="10"/>
        <v>3.2840043769656872E-2</v>
      </c>
      <c r="AI39" s="4">
        <f t="shared" si="32"/>
        <v>5.9051175009271796E-2</v>
      </c>
      <c r="AJ39" s="4">
        <f t="shared" si="33"/>
        <v>1.0851011933048799E-2</v>
      </c>
    </row>
    <row r="40" spans="1:36" ht="16" x14ac:dyDescent="0.2">
      <c r="A40" s="2" t="s">
        <v>18</v>
      </c>
      <c r="B40" s="4" t="s">
        <v>80</v>
      </c>
      <c r="C40" s="4" t="s">
        <v>15</v>
      </c>
      <c r="D40" s="8">
        <v>-16.565333333333335</v>
      </c>
      <c r="E40" s="8">
        <v>-42.893222222222221</v>
      </c>
      <c r="F40" s="8">
        <v>2</v>
      </c>
      <c r="G40" s="1" t="s">
        <v>87</v>
      </c>
      <c r="H40" s="4" t="s">
        <v>110</v>
      </c>
      <c r="I40" s="4">
        <v>1974</v>
      </c>
      <c r="J40" s="19">
        <v>1981</v>
      </c>
      <c r="K40" s="19">
        <v>1983</v>
      </c>
      <c r="L40" s="16">
        <v>1093.19</v>
      </c>
      <c r="M40" s="16">
        <v>2006.5813850497275</v>
      </c>
      <c r="N40" s="19">
        <f t="shared" si="2"/>
        <v>0.54480222339594186</v>
      </c>
      <c r="O40" s="19">
        <f t="shared" si="3"/>
        <v>0.65392109108621521</v>
      </c>
      <c r="P40" s="15">
        <v>1094.9333333333334</v>
      </c>
      <c r="Q40" s="16">
        <v>2004.4364375743153</v>
      </c>
      <c r="R40" s="19">
        <f t="shared" si="13"/>
        <v>0.54625495366586718</v>
      </c>
      <c r="S40" s="19" t="e">
        <f t="shared" si="4"/>
        <v>#N/A</v>
      </c>
      <c r="T40" s="19">
        <f t="shared" si="0"/>
        <v>0.35720763531243382</v>
      </c>
      <c r="U40" s="37">
        <f t="shared" si="5"/>
        <v>0.48046486030770241</v>
      </c>
      <c r="V40" s="37">
        <f t="shared" si="5"/>
        <v>0.48649553067460172</v>
      </c>
      <c r="W40" s="37">
        <f t="shared" si="5"/>
        <v>0.4737213674590679</v>
      </c>
      <c r="X40" s="36">
        <v>1121</v>
      </c>
      <c r="Y40" s="36">
        <v>716</v>
      </c>
      <c r="AA40" s="4">
        <f t="shared" si="30"/>
        <v>0.35720763531243382</v>
      </c>
      <c r="AB40" s="4">
        <f t="shared" si="31"/>
        <v>0.4737213674590679</v>
      </c>
      <c r="AC40" s="4">
        <f t="shared" si="8"/>
        <v>-0.11651373214663407</v>
      </c>
      <c r="AE40" s="4">
        <f t="shared" si="14"/>
        <v>6.8407029603314462E-2</v>
      </c>
      <c r="AF40" s="4">
        <f t="shared" si="10"/>
        <v>2.1034757689033495E-2</v>
      </c>
      <c r="AI40" s="4">
        <f t="shared" si="32"/>
        <v>3.403927017984875E-2</v>
      </c>
      <c r="AJ40" s="4">
        <f t="shared" si="33"/>
        <v>4.62177156788316E-3</v>
      </c>
    </row>
    <row r="41" spans="1:36" ht="16" x14ac:dyDescent="0.2">
      <c r="A41" s="2" t="s">
        <v>18</v>
      </c>
      <c r="B41" s="11" t="s">
        <v>111</v>
      </c>
      <c r="C41" s="11" t="s">
        <v>112</v>
      </c>
      <c r="D41" s="8">
        <v>33.133333333333333</v>
      </c>
      <c r="E41" s="8">
        <v>-79.783333333333331</v>
      </c>
      <c r="F41" s="8">
        <v>3</v>
      </c>
      <c r="G41" s="1" t="s">
        <v>113</v>
      </c>
      <c r="H41" s="11" t="s">
        <v>114</v>
      </c>
      <c r="I41" s="10">
        <v>1964</v>
      </c>
      <c r="J41" s="42">
        <v>1964</v>
      </c>
      <c r="K41" s="42">
        <v>1984</v>
      </c>
      <c r="L41" s="16">
        <v>1272.952380952381</v>
      </c>
      <c r="M41" s="16">
        <v>1529.8654700720315</v>
      </c>
      <c r="N41" s="19">
        <f t="shared" si="2"/>
        <v>0.83206818236929414</v>
      </c>
      <c r="O41" s="19">
        <f t="shared" si="3"/>
        <v>0.77185798639487102</v>
      </c>
      <c r="P41" s="15">
        <v>1272.952380952381</v>
      </c>
      <c r="Q41" s="16">
        <v>1529.8654700720315</v>
      </c>
      <c r="R41" s="19">
        <f t="shared" si="13"/>
        <v>0.83206818236929414</v>
      </c>
      <c r="S41" s="19" t="e">
        <f t="shared" si="4"/>
        <v>#N/A</v>
      </c>
      <c r="T41" s="19">
        <f t="shared" si="0"/>
        <v>0.64223847178680371</v>
      </c>
      <c r="U41" s="37">
        <f t="shared" si="5"/>
        <v>0.64378654518991518</v>
      </c>
      <c r="V41" s="37">
        <f t="shared" si="5"/>
        <v>0.65403514661402617</v>
      </c>
      <c r="W41" s="37">
        <f t="shared" si="5"/>
        <v>0.63260807727106871</v>
      </c>
      <c r="X41" s="36">
        <v>1319.3846153846155</v>
      </c>
      <c r="Y41" s="36">
        <v>982.53846153846155</v>
      </c>
      <c r="AA41" s="4">
        <f t="shared" si="30"/>
        <v>0.64223847178680371</v>
      </c>
      <c r="AB41" s="4">
        <f t="shared" si="31"/>
        <v>0.63260807727106871</v>
      </c>
      <c r="AC41" s="4">
        <f t="shared" si="8"/>
        <v>9.6303945157349968E-3</v>
      </c>
      <c r="AE41" s="4">
        <f t="shared" si="14"/>
        <v>5.5147294181497855E-4</v>
      </c>
      <c r="AF41" s="4">
        <f t="shared" si="10"/>
        <v>1.9190745177045804E-4</v>
      </c>
      <c r="AI41" s="4">
        <f t="shared" si="32"/>
        <v>1.010698298006377E-2</v>
      </c>
      <c r="AJ41" s="4">
        <f t="shared" si="33"/>
        <v>8.263373101806951E-3</v>
      </c>
    </row>
    <row r="42" spans="1:36" ht="16" x14ac:dyDescent="0.2">
      <c r="A42" s="2" t="s">
        <v>18</v>
      </c>
      <c r="B42" s="2" t="s">
        <v>116</v>
      </c>
      <c r="C42" s="11" t="s">
        <v>101</v>
      </c>
      <c r="D42" s="8">
        <v>35.799999999999997</v>
      </c>
      <c r="E42" s="8">
        <v>-76.650000000000006</v>
      </c>
      <c r="F42" s="8">
        <v>4</v>
      </c>
      <c r="G42" s="1" t="s">
        <v>118</v>
      </c>
      <c r="H42" s="11" t="s">
        <v>62</v>
      </c>
      <c r="I42" s="9">
        <v>1992</v>
      </c>
      <c r="J42" s="43">
        <v>2005</v>
      </c>
      <c r="K42" s="43">
        <v>2008</v>
      </c>
      <c r="L42" s="16">
        <v>1364.8882352941175</v>
      </c>
      <c r="M42" s="16">
        <v>1335.8906943320494</v>
      </c>
      <c r="N42" s="19">
        <f t="shared" si="2"/>
        <v>1.0217065221616557</v>
      </c>
      <c r="O42" s="19">
        <f t="shared" si="3"/>
        <v>0.79771034381535977</v>
      </c>
      <c r="P42" s="15">
        <v>1362.65</v>
      </c>
      <c r="Q42" s="16">
        <v>1337.0674687360679</v>
      </c>
      <c r="R42" s="19">
        <f t="shared" si="13"/>
        <v>1.0191333136600171</v>
      </c>
      <c r="S42" s="19" t="e">
        <f t="shared" si="4"/>
        <v>#N/A</v>
      </c>
      <c r="T42" s="19">
        <f t="shared" si="0"/>
        <v>0.81297318603341906</v>
      </c>
      <c r="U42" s="37">
        <f t="shared" si="5"/>
        <v>0.71886228988809941</v>
      </c>
      <c r="V42" s="37">
        <f t="shared" si="5"/>
        <v>0.73060847334057599</v>
      </c>
      <c r="W42" s="37">
        <f t="shared" si="5"/>
        <v>0.70608744681403235</v>
      </c>
      <c r="X42" s="36">
        <v>1238</v>
      </c>
      <c r="Y42" s="36">
        <v>1087</v>
      </c>
      <c r="AA42" s="4">
        <f t="shared" si="30"/>
        <v>0.81297318603341906</v>
      </c>
      <c r="AB42" s="4">
        <f t="shared" si="31"/>
        <v>0.70608744681403235</v>
      </c>
      <c r="AC42" s="4">
        <f t="shared" si="8"/>
        <v>0.10688573921938671</v>
      </c>
      <c r="AE42" s="4">
        <f t="shared" si="14"/>
        <v>3.7720699606681833E-2</v>
      </c>
      <c r="AF42" s="4">
        <f t="shared" si="10"/>
        <v>7.6269543871969898E-3</v>
      </c>
      <c r="AI42" s="4">
        <f t="shared" si="32"/>
        <v>7.35864396294581E-2</v>
      </c>
      <c r="AJ42" s="4">
        <f t="shared" si="33"/>
        <v>2.7021595410936263E-2</v>
      </c>
    </row>
    <row r="43" spans="1:36" ht="16" x14ac:dyDescent="0.2">
      <c r="A43" s="2" t="s">
        <v>18</v>
      </c>
      <c r="B43" s="2" t="s">
        <v>117</v>
      </c>
      <c r="C43" s="2" t="s">
        <v>115</v>
      </c>
      <c r="D43" s="8">
        <v>29.733333333333334</v>
      </c>
      <c r="E43" s="8">
        <v>-82.158333333333346</v>
      </c>
      <c r="F43" s="8">
        <v>4</v>
      </c>
      <c r="G43" s="1" t="s">
        <v>129</v>
      </c>
      <c r="H43" s="11" t="s">
        <v>62</v>
      </c>
      <c r="I43" s="9">
        <v>1977</v>
      </c>
      <c r="J43" s="43">
        <v>1997</v>
      </c>
      <c r="K43" s="16">
        <v>2000</v>
      </c>
      <c r="L43" s="16">
        <v>1232.1421052631579</v>
      </c>
      <c r="M43" s="16">
        <v>1516.2129259681233</v>
      </c>
      <c r="N43" s="19">
        <f t="shared" si="2"/>
        <v>0.81264450669184063</v>
      </c>
      <c r="O43" s="19">
        <f t="shared" si="3"/>
        <v>0.87111777283047154</v>
      </c>
      <c r="P43" s="15">
        <v>1134.175</v>
      </c>
      <c r="Q43" s="16">
        <v>1548.9886280949581</v>
      </c>
      <c r="R43" s="19">
        <f t="shared" si="13"/>
        <v>0.73220356781758844</v>
      </c>
      <c r="S43" s="19" t="e">
        <f t="shared" si="4"/>
        <v>#N/A</v>
      </c>
      <c r="T43" s="19">
        <f t="shared" si="0"/>
        <v>0.63783554125578279</v>
      </c>
      <c r="U43" s="37">
        <f t="shared" si="5"/>
        <v>0.59401740587323082</v>
      </c>
      <c r="V43" s="37">
        <f t="shared" si="5"/>
        <v>0.60302855391230992</v>
      </c>
      <c r="W43" s="37">
        <f t="shared" si="5"/>
        <v>0.58413680528615286</v>
      </c>
      <c r="X43" s="36">
        <v>1098</v>
      </c>
      <c r="Y43" s="36">
        <v>988</v>
      </c>
      <c r="AA43" s="4">
        <f t="shared" si="30"/>
        <v>0.63783554125578279</v>
      </c>
      <c r="AB43" s="4">
        <f t="shared" si="31"/>
        <v>0.58413680528615286</v>
      </c>
      <c r="AC43" s="4">
        <f t="shared" si="8"/>
        <v>5.3698735969629929E-2</v>
      </c>
      <c r="AE43" s="4">
        <f t="shared" si="14"/>
        <v>3.6406664401477263E-4</v>
      </c>
      <c r="AF43" s="4">
        <f t="shared" si="10"/>
        <v>1.1984201502035995E-3</v>
      </c>
      <c r="AI43" s="4">
        <f t="shared" si="32"/>
        <v>9.2410848161646082E-3</v>
      </c>
      <c r="AJ43" s="4">
        <f t="shared" si="33"/>
        <v>1.8004598010045527E-3</v>
      </c>
    </row>
    <row r="44" spans="1:36" ht="16" x14ac:dyDescent="0.2">
      <c r="A44" s="2" t="s">
        <v>18</v>
      </c>
      <c r="B44" s="2" t="s">
        <v>117</v>
      </c>
      <c r="C44" s="2" t="s">
        <v>115</v>
      </c>
      <c r="D44" s="8">
        <v>29.733333333333334</v>
      </c>
      <c r="E44" s="8">
        <v>-82.158333333333346</v>
      </c>
      <c r="F44" s="8">
        <v>4</v>
      </c>
      <c r="G44" s="1" t="s">
        <v>129</v>
      </c>
      <c r="H44" s="11" t="s">
        <v>62</v>
      </c>
      <c r="I44" s="9">
        <v>1977</v>
      </c>
      <c r="J44" s="43">
        <v>2000</v>
      </c>
      <c r="K44" s="16">
        <v>2001</v>
      </c>
      <c r="L44" s="16">
        <v>1270.7458333333334</v>
      </c>
      <c r="M44" s="16">
        <v>1667.8500203617405</v>
      </c>
      <c r="N44" s="19">
        <f t="shared" si="2"/>
        <v>0.76190653705044831</v>
      </c>
      <c r="O44" s="19">
        <f t="shared" si="3"/>
        <v>1.0281764288493671</v>
      </c>
      <c r="P44" s="15">
        <v>1092.2249999999999</v>
      </c>
      <c r="Q44" s="16">
        <v>1676.0608383548288</v>
      </c>
      <c r="R44" s="19">
        <f t="shared" si="13"/>
        <v>0.65166190570510274</v>
      </c>
      <c r="S44" s="19" t="e">
        <f t="shared" si="4"/>
        <v>#N/A</v>
      </c>
      <c r="T44" s="19">
        <f t="shared" si="0"/>
        <v>0.67002341102504559</v>
      </c>
      <c r="U44" s="37">
        <f t="shared" si="5"/>
        <v>0.5482984808548621</v>
      </c>
      <c r="V44" s="37">
        <f t="shared" si="5"/>
        <v>0.55610589280722178</v>
      </c>
      <c r="W44" s="37">
        <f t="shared" si="5"/>
        <v>0.53967994133154518</v>
      </c>
      <c r="X44" s="36">
        <v>1175.5</v>
      </c>
      <c r="Y44" s="36">
        <v>1123</v>
      </c>
      <c r="AA44" s="4">
        <f t="shared" si="30"/>
        <v>0.67002341102504559</v>
      </c>
      <c r="AB44" s="4">
        <f t="shared" si="31"/>
        <v>0.53967994133154518</v>
      </c>
      <c r="AC44" s="4">
        <f t="shared" si="8"/>
        <v>0.13034346969350041</v>
      </c>
      <c r="AE44" s="4">
        <f t="shared" si="14"/>
        <v>2.6284488657752846E-3</v>
      </c>
      <c r="AF44" s="4">
        <f t="shared" si="10"/>
        <v>6.2528666050557886E-3</v>
      </c>
      <c r="AI44" s="4">
        <f t="shared" si="32"/>
        <v>1.6465619752493017E-2</v>
      </c>
      <c r="AJ44" s="4">
        <f t="shared" si="33"/>
        <v>4.1007814230912007E-6</v>
      </c>
    </row>
    <row r="45" spans="1:36" ht="16" x14ac:dyDescent="0.2">
      <c r="A45" s="2" t="s">
        <v>18</v>
      </c>
      <c r="B45" s="2" t="s">
        <v>121</v>
      </c>
      <c r="C45" s="2" t="s">
        <v>101</v>
      </c>
      <c r="D45" s="8">
        <v>35.18333333333333</v>
      </c>
      <c r="E45" s="8">
        <v>-76.183333333333337</v>
      </c>
      <c r="F45" s="8">
        <v>4</v>
      </c>
      <c r="G45" s="1" t="s">
        <v>131</v>
      </c>
      <c r="H45" s="11" t="s">
        <v>130</v>
      </c>
      <c r="I45" s="2">
        <v>2002</v>
      </c>
      <c r="J45" s="16">
        <v>2006</v>
      </c>
      <c r="K45" s="16">
        <v>2009</v>
      </c>
      <c r="L45" s="16">
        <v>1269.836</v>
      </c>
      <c r="M45" s="16">
        <v>1667.1277610774694</v>
      </c>
      <c r="N45" s="19">
        <f t="shared" si="2"/>
        <v>0.7616908731573766</v>
      </c>
      <c r="O45" s="19">
        <f t="shared" si="3"/>
        <v>0.67450910229458338</v>
      </c>
      <c r="P45" s="15">
        <v>1117.8499999999999</v>
      </c>
      <c r="Q45" s="16">
        <v>1680.7778226855858</v>
      </c>
      <c r="R45" s="19">
        <f t="shared" si="13"/>
        <v>0.66507898004857846</v>
      </c>
      <c r="S45" s="19" t="e">
        <f t="shared" si="4"/>
        <v>#N/A</v>
      </c>
      <c r="T45" s="19">
        <f t="shared" si="0"/>
        <v>0.44860182578756386</v>
      </c>
      <c r="U45" s="37">
        <f t="shared" si="5"/>
        <v>0.55627536203266392</v>
      </c>
      <c r="V45" s="37">
        <f t="shared" si="5"/>
        <v>0.56429446087886359</v>
      </c>
      <c r="W45" s="37">
        <f t="shared" si="5"/>
        <v>0.54743458946409662</v>
      </c>
      <c r="X45" s="36">
        <v>883</v>
      </c>
      <c r="Y45" s="36">
        <v>754</v>
      </c>
      <c r="AA45" s="4">
        <f t="shared" si="30"/>
        <v>0.44860182578756386</v>
      </c>
      <c r="AB45" s="4">
        <f t="shared" si="31"/>
        <v>0.54743458946409662</v>
      </c>
      <c r="AC45" s="4">
        <f t="shared" si="8"/>
        <v>-9.8832763676532764E-2</v>
      </c>
      <c r="AE45" s="4">
        <f t="shared" si="14"/>
        <v>2.8952106356136764E-2</v>
      </c>
      <c r="AF45" s="4">
        <f t="shared" si="10"/>
        <v>5.0866024937717882E-3</v>
      </c>
      <c r="AI45" s="4">
        <f t="shared" si="32"/>
        <v>8.6681973157694044E-3</v>
      </c>
      <c r="AJ45" s="4">
        <f t="shared" si="33"/>
        <v>3.2828425136329405E-5</v>
      </c>
    </row>
    <row r="46" spans="1:36" ht="16" x14ac:dyDescent="0.2">
      <c r="A46" s="2" t="s">
        <v>18</v>
      </c>
      <c r="B46" s="2" t="s">
        <v>122</v>
      </c>
      <c r="C46" s="2" t="s">
        <v>101</v>
      </c>
      <c r="D46" s="8">
        <v>35.18333333333333</v>
      </c>
      <c r="E46" s="8">
        <v>-76.183333333333337</v>
      </c>
      <c r="F46" s="8">
        <v>4</v>
      </c>
      <c r="G46" s="1" t="s">
        <v>131</v>
      </c>
      <c r="H46" s="11" t="s">
        <v>130</v>
      </c>
      <c r="I46" s="2">
        <v>1990</v>
      </c>
      <c r="J46" s="16">
        <v>2006</v>
      </c>
      <c r="K46" s="16">
        <v>2009</v>
      </c>
      <c r="L46" s="16">
        <v>1411.65</v>
      </c>
      <c r="M46" s="16">
        <v>1353.6157826395115</v>
      </c>
      <c r="N46" s="19">
        <f t="shared" si="2"/>
        <v>1.042873478652357</v>
      </c>
      <c r="O46" s="19">
        <f t="shared" si="3"/>
        <v>0.76562133416751388</v>
      </c>
      <c r="P46" s="15">
        <v>1278.7</v>
      </c>
      <c r="Q46" s="16">
        <v>1376.2710798621381</v>
      </c>
      <c r="R46" s="19">
        <f t="shared" si="13"/>
        <v>0.92910475175289464</v>
      </c>
      <c r="S46" s="19" t="e">
        <f t="shared" si="4"/>
        <v>#N/A</v>
      </c>
      <c r="T46" s="19">
        <f t="shared" si="0"/>
        <v>0.71134241961842792</v>
      </c>
      <c r="U46" s="37">
        <f t="shared" si="5"/>
        <v>0.6854488158873735</v>
      </c>
      <c r="V46" s="37">
        <f t="shared" si="5"/>
        <v>0.69660467831987227</v>
      </c>
      <c r="W46" s="37">
        <f t="shared" si="5"/>
        <v>0.67331061094018452</v>
      </c>
      <c r="X46" s="36">
        <v>1033</v>
      </c>
      <c r="Y46" s="36">
        <v>979</v>
      </c>
      <c r="AA46" s="4">
        <f t="shared" si="30"/>
        <v>0.71134241961842792</v>
      </c>
      <c r="AB46" s="4">
        <f t="shared" si="31"/>
        <v>0.67331061094018452</v>
      </c>
      <c r="AC46" s="4">
        <f t="shared" si="8"/>
        <v>3.8031808678243406E-2</v>
      </c>
      <c r="AE46" s="4">
        <f t="shared" si="14"/>
        <v>8.5724282791869687E-3</v>
      </c>
      <c r="AF46" s="4">
        <f t="shared" si="10"/>
        <v>2.9763135110609661E-3</v>
      </c>
      <c r="AI46" s="4">
        <f t="shared" si="32"/>
        <v>2.8776860935847349E-2</v>
      </c>
      <c r="AJ46" s="4">
        <f t="shared" si="33"/>
        <v>1.7320042107229042E-2</v>
      </c>
    </row>
    <row r="47" spans="1:36" ht="16" x14ac:dyDescent="0.2">
      <c r="A47" s="2" t="s">
        <v>18</v>
      </c>
      <c r="B47" s="2" t="s">
        <v>123</v>
      </c>
      <c r="C47" s="2" t="s">
        <v>124</v>
      </c>
      <c r="D47" s="8">
        <v>-26.033333333333335</v>
      </c>
      <c r="E47" s="8">
        <v>152.83333333333334</v>
      </c>
      <c r="F47" s="8">
        <v>3</v>
      </c>
      <c r="G47" s="1" t="s">
        <v>132</v>
      </c>
      <c r="H47" s="11" t="s">
        <v>119</v>
      </c>
      <c r="I47" s="9">
        <v>1951</v>
      </c>
      <c r="J47" s="43">
        <v>1987</v>
      </c>
      <c r="K47" s="43">
        <v>1997</v>
      </c>
      <c r="L47" s="16">
        <v>1156.8957446808511</v>
      </c>
      <c r="M47" s="16">
        <v>1754.6897280415433</v>
      </c>
      <c r="N47" s="19">
        <f t="shared" si="2"/>
        <v>0.65931641713780009</v>
      </c>
      <c r="O47" s="19">
        <f t="shared" si="3"/>
        <v>1.0047774650317598</v>
      </c>
      <c r="P47" s="15">
        <v>1123.9636363636364</v>
      </c>
      <c r="Q47" s="16">
        <v>1746.2744187986355</v>
      </c>
      <c r="R47" s="19">
        <f t="shared" si="13"/>
        <v>0.64363517226397715</v>
      </c>
      <c r="S47" s="19" t="e">
        <f t="shared" si="4"/>
        <v>#N/A</v>
      </c>
      <c r="T47" s="19">
        <f t="shared" si="0"/>
        <v>0.64671011679267909</v>
      </c>
      <c r="U47" s="37">
        <f t="shared" si="5"/>
        <v>0.5434561920192702</v>
      </c>
      <c r="V47" s="37">
        <f t="shared" si="5"/>
        <v>0.55113506305931215</v>
      </c>
      <c r="W47" s="37">
        <f t="shared" si="5"/>
        <v>0.5349726873193148</v>
      </c>
      <c r="X47" s="36">
        <v>1284.4000000000001</v>
      </c>
      <c r="Y47" s="36">
        <v>1129.3333333333333</v>
      </c>
      <c r="AA47" s="4">
        <f t="shared" si="30"/>
        <v>0.64671011679267909</v>
      </c>
      <c r="AB47" s="4">
        <f t="shared" si="31"/>
        <v>0.5349726873193148</v>
      </c>
      <c r="AC47" s="4">
        <f t="shared" si="8"/>
        <v>0.11173742947336429</v>
      </c>
      <c r="AE47" s="4">
        <f t="shared" si="14"/>
        <v>7.8148795331924622E-4</v>
      </c>
      <c r="AF47" s="4">
        <f t="shared" si="10"/>
        <v>7.0194777210569048E-3</v>
      </c>
      <c r="AI47" s="4">
        <f t="shared" si="32"/>
        <v>1.1026078762475628E-2</v>
      </c>
      <c r="AJ47" s="4">
        <f t="shared" si="33"/>
        <v>4.5323764121222385E-5</v>
      </c>
    </row>
    <row r="48" spans="1:36" ht="16" x14ac:dyDescent="0.2">
      <c r="A48" s="2" t="s">
        <v>18</v>
      </c>
      <c r="B48" s="2" t="s">
        <v>125</v>
      </c>
      <c r="C48" s="2" t="s">
        <v>126</v>
      </c>
      <c r="D48" s="14">
        <f>-35-6/60</f>
        <v>-35.1</v>
      </c>
      <c r="E48" s="14">
        <v>-72</v>
      </c>
      <c r="F48" s="14">
        <v>1</v>
      </c>
      <c r="G48" s="1" t="s">
        <v>133</v>
      </c>
      <c r="H48" s="11" t="s">
        <v>60</v>
      </c>
      <c r="I48" s="13">
        <v>1990</v>
      </c>
      <c r="J48" s="44">
        <v>2002</v>
      </c>
      <c r="K48" s="44">
        <v>2003</v>
      </c>
      <c r="L48" s="16">
        <v>862.40000000000009</v>
      </c>
      <c r="M48" s="16">
        <v>1664.7808174127724</v>
      </c>
      <c r="N48" s="19">
        <f t="shared" si="2"/>
        <v>0.51802615153882636</v>
      </c>
      <c r="O48" s="19">
        <f t="shared" si="3"/>
        <v>1.00504636846416</v>
      </c>
      <c r="P48" s="15">
        <v>946.22500000000025</v>
      </c>
      <c r="Q48" s="16">
        <v>1689.1020617980878</v>
      </c>
      <c r="R48" s="19">
        <f t="shared" si="13"/>
        <v>0.56019409448397817</v>
      </c>
      <c r="S48" s="19" t="e">
        <f t="shared" si="4"/>
        <v>#N/A</v>
      </c>
      <c r="T48" s="19">
        <f t="shared" si="0"/>
        <v>0.56302104029619071</v>
      </c>
      <c r="U48" s="37">
        <f t="shared" si="5"/>
        <v>0.48996609112699474</v>
      </c>
      <c r="V48" s="37">
        <f t="shared" si="5"/>
        <v>0.49624032334649626</v>
      </c>
      <c r="W48" s="37">
        <f t="shared" si="5"/>
        <v>0.48296425622221029</v>
      </c>
      <c r="X48" s="36">
        <v>1015</v>
      </c>
      <c r="Y48" s="36">
        <v>951</v>
      </c>
      <c r="AA48" s="4">
        <f t="shared" si="30"/>
        <v>0.56302104029619071</v>
      </c>
      <c r="AB48" s="4">
        <f t="shared" si="31"/>
        <v>0.48296425622221029</v>
      </c>
      <c r="AC48" s="4">
        <f t="shared" si="8"/>
        <v>8.0056784073980425E-2</v>
      </c>
      <c r="AE48" s="4">
        <f t="shared" si="14"/>
        <v>3.1062754636190675E-3</v>
      </c>
      <c r="AF48" s="4">
        <f t="shared" si="10"/>
        <v>1.8439129017840662E-2</v>
      </c>
      <c r="AI48" s="4">
        <f t="shared" si="32"/>
        <v>4.5437442850499484E-4</v>
      </c>
      <c r="AJ48" s="4">
        <f t="shared" si="33"/>
        <v>3.4504726245535148E-3</v>
      </c>
    </row>
    <row r="49" spans="1:57" ht="16" x14ac:dyDescent="0.2">
      <c r="A49" s="2" t="s">
        <v>18</v>
      </c>
      <c r="B49" s="2" t="s">
        <v>21</v>
      </c>
      <c r="C49" s="2" t="s">
        <v>126</v>
      </c>
      <c r="D49" s="14">
        <f>-37-14/60</f>
        <v>-37.233333333333334</v>
      </c>
      <c r="E49" s="14">
        <f>-72-19/60</f>
        <v>-72.316666666666663</v>
      </c>
      <c r="F49" s="14">
        <v>1</v>
      </c>
      <c r="G49" s="1" t="s">
        <v>133</v>
      </c>
      <c r="H49" s="11" t="s">
        <v>60</v>
      </c>
      <c r="I49" s="13">
        <f>1999-14</f>
        <v>1985</v>
      </c>
      <c r="J49" s="44">
        <v>1999</v>
      </c>
      <c r="K49" s="44">
        <v>2001</v>
      </c>
      <c r="L49" s="16">
        <v>1306.7705882352946</v>
      </c>
      <c r="M49" s="16">
        <v>1655.8962343777848</v>
      </c>
      <c r="N49" s="19">
        <f t="shared" si="2"/>
        <v>0.78916212326935042</v>
      </c>
      <c r="O49" s="19">
        <f t="shared" si="3"/>
        <v>0.60255331088664421</v>
      </c>
      <c r="P49" s="15">
        <v>1425.6000000000001</v>
      </c>
      <c r="Q49" s="16">
        <v>1645.9000585211663</v>
      </c>
      <c r="R49" s="19">
        <f t="shared" si="13"/>
        <v>0.86615222632709254</v>
      </c>
      <c r="S49" s="19" t="e">
        <f t="shared" si="4"/>
        <v>#N/A</v>
      </c>
      <c r="T49" s="19">
        <f t="shared" si="0"/>
        <v>0.52190289170522752</v>
      </c>
      <c r="U49" s="37">
        <f t="shared" si="5"/>
        <v>0.6591341757443685</v>
      </c>
      <c r="V49" s="37">
        <f t="shared" si="5"/>
        <v>0.66973470965749193</v>
      </c>
      <c r="W49" s="37">
        <f t="shared" si="5"/>
        <v>0.6475848951875951</v>
      </c>
      <c r="X49" s="36">
        <v>1138</v>
      </c>
      <c r="Y49" s="36">
        <v>859</v>
      </c>
      <c r="AA49" s="4">
        <f t="shared" si="30"/>
        <v>0.52190289170522752</v>
      </c>
      <c r="AB49" s="4">
        <f t="shared" si="31"/>
        <v>0.6475848951875951</v>
      </c>
      <c r="AC49" s="4">
        <f t="shared" si="8"/>
        <v>-0.12568200348236758</v>
      </c>
      <c r="AE49" s="4">
        <f t="shared" si="14"/>
        <v>9.3803329653273596E-3</v>
      </c>
      <c r="AF49" s="4">
        <f t="shared" si="10"/>
        <v>8.3116223613006026E-4</v>
      </c>
      <c r="AI49" s="4">
        <f t="shared" si="32"/>
        <v>3.9212269901860218E-4</v>
      </c>
      <c r="AJ49" s="4">
        <f t="shared" si="33"/>
        <v>1.1210556449838907E-2</v>
      </c>
    </row>
    <row r="50" spans="1:57" ht="16" x14ac:dyDescent="0.2">
      <c r="A50" s="2" t="s">
        <v>18</v>
      </c>
      <c r="B50" s="2" t="s">
        <v>22</v>
      </c>
      <c r="C50" s="2" t="s">
        <v>126</v>
      </c>
      <c r="D50" s="14">
        <f>-37-55/60</f>
        <v>-37.916666666666664</v>
      </c>
      <c r="E50" s="14">
        <f>-72-25/60</f>
        <v>-72.416666666666671</v>
      </c>
      <c r="F50" s="14">
        <v>1</v>
      </c>
      <c r="G50" s="1" t="s">
        <v>133</v>
      </c>
      <c r="H50" s="11" t="s">
        <v>60</v>
      </c>
      <c r="I50" s="13">
        <f>1999-12</f>
        <v>1987</v>
      </c>
      <c r="J50" s="44">
        <v>1999</v>
      </c>
      <c r="K50" s="44">
        <v>2000</v>
      </c>
      <c r="L50" s="16">
        <v>1313.2157894736843</v>
      </c>
      <c r="M50" s="16">
        <v>1652.3896719234804</v>
      </c>
      <c r="N50" s="19">
        <f t="shared" si="2"/>
        <v>0.79473735026739944</v>
      </c>
      <c r="O50" s="19">
        <f t="shared" si="3"/>
        <v>0.69374298540965196</v>
      </c>
      <c r="P50" s="15">
        <v>1425.6000000000001</v>
      </c>
      <c r="Q50" s="16">
        <v>1645.9000585211663</v>
      </c>
      <c r="R50" s="19">
        <f t="shared" si="13"/>
        <v>0.86615222632709254</v>
      </c>
      <c r="S50" s="19" t="e">
        <f t="shared" si="4"/>
        <v>#N/A</v>
      </c>
      <c r="T50" s="19">
        <f t="shared" si="0"/>
        <v>0.60088703131137378</v>
      </c>
      <c r="U50" s="37">
        <f t="shared" si="5"/>
        <v>0.6591341757443685</v>
      </c>
      <c r="V50" s="37">
        <f t="shared" si="5"/>
        <v>0.66973470965749193</v>
      </c>
      <c r="W50" s="37">
        <f t="shared" si="5"/>
        <v>0.6475848951875951</v>
      </c>
      <c r="X50" s="36">
        <v>1189</v>
      </c>
      <c r="Y50" s="36">
        <v>989</v>
      </c>
      <c r="AA50" s="4">
        <f t="shared" si="30"/>
        <v>0.60088703131137378</v>
      </c>
      <c r="AB50" s="4">
        <f t="shared" si="31"/>
        <v>0.6475848951875951</v>
      </c>
      <c r="AC50" s="4">
        <f t="shared" si="8"/>
        <v>-4.6697863876221324E-2</v>
      </c>
      <c r="AE50" s="4">
        <f t="shared" si="14"/>
        <v>3.1926468956316068E-4</v>
      </c>
      <c r="AF50" s="4">
        <f t="shared" si="10"/>
        <v>8.3116223613006026E-4</v>
      </c>
      <c r="AI50" s="4">
        <f t="shared" si="32"/>
        <v>3.5025152028476123E-3</v>
      </c>
      <c r="AJ50" s="4">
        <f t="shared" si="33"/>
        <v>1.1210556449838907E-2</v>
      </c>
    </row>
    <row r="51" spans="1:57" ht="16" x14ac:dyDescent="0.2">
      <c r="A51" s="2" t="s">
        <v>18</v>
      </c>
      <c r="B51" s="2" t="s">
        <v>23</v>
      </c>
      <c r="C51" s="2" t="s">
        <v>126</v>
      </c>
      <c r="D51" s="14">
        <f>-39-48/60</f>
        <v>-39.799999999999997</v>
      </c>
      <c r="E51" s="14">
        <f>-73-14/60</f>
        <v>-73.233333333333334</v>
      </c>
      <c r="F51" s="14">
        <v>1</v>
      </c>
      <c r="G51" s="1" t="s">
        <v>133</v>
      </c>
      <c r="H51" s="11" t="s">
        <v>60</v>
      </c>
      <c r="I51" s="13">
        <f>1999-13</f>
        <v>1986</v>
      </c>
      <c r="J51" s="44">
        <v>1999</v>
      </c>
      <c r="K51" s="44">
        <v>2000</v>
      </c>
      <c r="L51" s="16">
        <v>1258.6400000000001</v>
      </c>
      <c r="M51" s="16">
        <v>1399.7331792316752</v>
      </c>
      <c r="N51" s="19">
        <f t="shared" si="2"/>
        <v>0.89919994658616131</v>
      </c>
      <c r="O51" s="19">
        <f t="shared" si="3"/>
        <v>0.74243813015582016</v>
      </c>
      <c r="P51" s="15">
        <v>1309.2000000000003</v>
      </c>
      <c r="Q51" s="16">
        <v>1411.5764067688278</v>
      </c>
      <c r="R51" s="19">
        <f t="shared" si="13"/>
        <v>0.92747370508751104</v>
      </c>
      <c r="S51" s="19" t="e">
        <f t="shared" si="4"/>
        <v>#N/A</v>
      </c>
      <c r="T51" s="19">
        <f t="shared" si="0"/>
        <v>0.68859184337386226</v>
      </c>
      <c r="U51" s="37">
        <f t="shared" si="5"/>
        <v>0.68479896378237171</v>
      </c>
      <c r="V51" s="37">
        <f t="shared" si="5"/>
        <v>0.69594196271308806</v>
      </c>
      <c r="W51" s="37">
        <f t="shared" si="5"/>
        <v>0.67267447731581154</v>
      </c>
      <c r="X51" s="36">
        <v>2081</v>
      </c>
      <c r="Y51" s="36">
        <v>972</v>
      </c>
      <c r="AA51" s="4">
        <f t="shared" si="30"/>
        <v>0.68859184337386226</v>
      </c>
      <c r="AB51" s="4">
        <f t="shared" si="31"/>
        <v>0.67267447731581154</v>
      </c>
      <c r="AC51" s="4">
        <f t="shared" si="8"/>
        <v>1.5917366058050719E-2</v>
      </c>
      <c r="AE51" s="4">
        <f t="shared" si="14"/>
        <v>4.8771831895888648E-3</v>
      </c>
      <c r="AF51" s="4">
        <f t="shared" si="10"/>
        <v>2.9073088737036202E-3</v>
      </c>
      <c r="AI51" s="4">
        <f t="shared" si="32"/>
        <v>2.1575750645277579E-2</v>
      </c>
      <c r="AJ51" s="4">
        <f t="shared" si="33"/>
        <v>1.7153009239163037E-2</v>
      </c>
    </row>
    <row r="52" spans="1:57" ht="16" x14ac:dyDescent="0.2">
      <c r="A52" s="2" t="s">
        <v>18</v>
      </c>
      <c r="B52" s="2" t="s">
        <v>24</v>
      </c>
      <c r="C52" s="2" t="s">
        <v>127</v>
      </c>
      <c r="D52" s="6">
        <v>-36.549999999999997</v>
      </c>
      <c r="E52" s="6">
        <v>146.75</v>
      </c>
      <c r="F52" s="6">
        <v>3</v>
      </c>
      <c r="G52" s="1" t="s">
        <v>134</v>
      </c>
      <c r="H52" s="11" t="s">
        <v>60</v>
      </c>
      <c r="I52" s="2">
        <v>1980</v>
      </c>
      <c r="J52" s="16">
        <v>1997</v>
      </c>
      <c r="K52" s="16">
        <v>2006</v>
      </c>
      <c r="L52" s="16">
        <v>1400.25</v>
      </c>
      <c r="M52" s="16">
        <v>1100</v>
      </c>
      <c r="N52" s="19">
        <f t="shared" si="2"/>
        <v>1.2729545454545454</v>
      </c>
      <c r="O52" s="19">
        <f t="shared" si="3"/>
        <v>0.61618014640242813</v>
      </c>
      <c r="P52" s="15">
        <v>1400.25</v>
      </c>
      <c r="Q52" s="16">
        <v>1100</v>
      </c>
      <c r="R52" s="19">
        <f t="shared" si="13"/>
        <v>1.2729545454545454</v>
      </c>
      <c r="S52" s="19" t="e">
        <f t="shared" si="4"/>
        <v>#N/A</v>
      </c>
      <c r="T52" s="19">
        <f t="shared" si="0"/>
        <v>0.78436931818181821</v>
      </c>
      <c r="U52" s="37">
        <f t="shared" si="5"/>
        <v>0.79118127633637014</v>
      </c>
      <c r="V52" s="37">
        <f t="shared" si="5"/>
        <v>0.80354186160261709</v>
      </c>
      <c r="W52" s="37">
        <f t="shared" si="5"/>
        <v>0.77767133265901944</v>
      </c>
      <c r="X52" s="36">
        <v>1400.25</v>
      </c>
      <c r="Y52" s="36">
        <v>862.80624999999998</v>
      </c>
      <c r="AA52" s="4">
        <f t="shared" si="30"/>
        <v>0.78436931818181821</v>
      </c>
      <c r="AB52" s="4">
        <f t="shared" si="31"/>
        <v>0.77767133265901944</v>
      </c>
      <c r="AC52" s="4">
        <f t="shared" si="8"/>
        <v>6.6979855227987661E-3</v>
      </c>
      <c r="AE52" s="4">
        <f t="shared" si="14"/>
        <v>2.7428098822932418E-2</v>
      </c>
      <c r="AF52" s="4">
        <f t="shared" si="10"/>
        <v>2.5254397366031665E-2</v>
      </c>
      <c r="AI52" s="4">
        <f t="shared" si="32"/>
        <v>5.8885981047466167E-2</v>
      </c>
      <c r="AJ52" s="4">
        <f t="shared" si="33"/>
        <v>5.5680119608833026E-2</v>
      </c>
    </row>
    <row r="53" spans="1:57" ht="16" x14ac:dyDescent="0.2">
      <c r="A53" s="2" t="s">
        <v>18</v>
      </c>
      <c r="B53" s="2" t="s">
        <v>136</v>
      </c>
      <c r="C53" s="2" t="s">
        <v>128</v>
      </c>
      <c r="D53" s="6">
        <v>-32.33</v>
      </c>
      <c r="E53" s="6">
        <v>150.08000000000001</v>
      </c>
      <c r="F53" s="6">
        <v>3</v>
      </c>
      <c r="G53" s="1" t="s">
        <v>135</v>
      </c>
      <c r="H53" s="11" t="s">
        <v>60</v>
      </c>
      <c r="I53" s="2">
        <v>1978</v>
      </c>
      <c r="J53" s="16">
        <v>1978</v>
      </c>
      <c r="K53" s="16">
        <v>1993</v>
      </c>
      <c r="L53" s="16">
        <v>737.84374999999989</v>
      </c>
      <c r="M53" s="16">
        <v>1450</v>
      </c>
      <c r="N53" s="19">
        <f t="shared" si="2"/>
        <v>0.5088577586206896</v>
      </c>
      <c r="O53" s="19">
        <f t="shared" si="3"/>
        <v>0.8978357545211979</v>
      </c>
      <c r="P53" s="15">
        <v>737.84374999999989</v>
      </c>
      <c r="Q53" s="16">
        <v>1450</v>
      </c>
      <c r="R53" s="19">
        <f t="shared" si="13"/>
        <v>0.5088577586206896</v>
      </c>
      <c r="S53" s="19" t="e">
        <f t="shared" si="4"/>
        <v>#N/A</v>
      </c>
      <c r="T53" s="19">
        <f t="shared" si="0"/>
        <v>0.45687068965517241</v>
      </c>
      <c r="U53" s="37">
        <f t="shared" si="5"/>
        <v>0.45417218090922828</v>
      </c>
      <c r="V53" s="37">
        <f t="shared" si="5"/>
        <v>0.45954353619896127</v>
      </c>
      <c r="W53" s="37">
        <f t="shared" si="5"/>
        <v>0.44813067608178669</v>
      </c>
      <c r="X53" s="36">
        <v>737.84374999999989</v>
      </c>
      <c r="Y53" s="36">
        <v>662.46249999999998</v>
      </c>
      <c r="AA53" s="4">
        <f t="shared" si="30"/>
        <v>0.45687068965517241</v>
      </c>
      <c r="AB53" s="4">
        <f t="shared" si="31"/>
        <v>0.44813067608178669</v>
      </c>
      <c r="AC53" s="4">
        <f t="shared" si="8"/>
        <v>8.7400135733857187E-3</v>
      </c>
      <c r="AE53" s="4">
        <f t="shared" si="14"/>
        <v>2.6206533419449809E-2</v>
      </c>
      <c r="AF53" s="4">
        <f t="shared" si="10"/>
        <v>2.9112663584255287E-2</v>
      </c>
      <c r="AI53" s="4">
        <f t="shared" si="32"/>
        <v>7.1968568105332956E-3</v>
      </c>
      <c r="AJ53" s="4">
        <f t="shared" si="33"/>
        <v>8.7561503451996942E-3</v>
      </c>
    </row>
    <row r="54" spans="1:57" customFormat="1" ht="16" x14ac:dyDescent="0.2">
      <c r="A54" s="2" t="s">
        <v>18</v>
      </c>
      <c r="B54" s="2" t="s">
        <v>45</v>
      </c>
      <c r="C54" s="2" t="s">
        <v>101</v>
      </c>
      <c r="D54">
        <v>35.25</v>
      </c>
      <c r="E54">
        <f>-83.25</f>
        <v>-83.25</v>
      </c>
      <c r="F54" s="6">
        <v>3</v>
      </c>
      <c r="G54" s="1" t="s">
        <v>137</v>
      </c>
      <c r="H54" s="11" t="s">
        <v>120</v>
      </c>
      <c r="I54" s="2">
        <v>1956</v>
      </c>
      <c r="J54" s="16">
        <v>2004</v>
      </c>
      <c r="K54" s="16">
        <v>2005</v>
      </c>
      <c r="L54" s="16">
        <v>1604.29</v>
      </c>
      <c r="M54" s="16">
        <v>1467.1146317505188</v>
      </c>
      <c r="N54" s="19">
        <f t="shared" si="2"/>
        <v>1.0935001023647399</v>
      </c>
      <c r="O54" s="19">
        <f t="shared" si="3"/>
        <v>0.80599344466989231</v>
      </c>
      <c r="P54" s="15">
        <v>1601.75</v>
      </c>
      <c r="Q54" s="16">
        <v>1432.1823816033689</v>
      </c>
      <c r="R54" s="19">
        <f t="shared" si="13"/>
        <v>1.1183980619890013</v>
      </c>
      <c r="S54" s="19" t="e">
        <f t="shared" si="4"/>
        <v>#N/A</v>
      </c>
      <c r="T54" s="19">
        <f t="shared" si="0"/>
        <v>0.90142150649464692</v>
      </c>
      <c r="U54" s="37">
        <f t="shared" si="5"/>
        <v>0.75061139750882888</v>
      </c>
      <c r="V54" s="37">
        <f t="shared" si="5"/>
        <v>0.76275990776936631</v>
      </c>
      <c r="W54" s="37">
        <f t="shared" si="5"/>
        <v>0.73738492197997307</v>
      </c>
      <c r="X54" s="36">
        <v>2240</v>
      </c>
      <c r="Y54" s="36">
        <v>1291</v>
      </c>
      <c r="Z54" s="39">
        <v>706</v>
      </c>
      <c r="AA54" s="4">
        <f t="shared" si="30"/>
        <v>0.90142150649464692</v>
      </c>
      <c r="AB54" s="4">
        <f t="shared" si="31"/>
        <v>0.73738492197997307</v>
      </c>
      <c r="AC54" s="4">
        <f t="shared" si="8"/>
        <v>0.16403658451467384</v>
      </c>
      <c r="AD54" s="39"/>
      <c r="AE54" s="4">
        <f t="shared" si="14"/>
        <v>7.9900347811116643E-2</v>
      </c>
      <c r="AF54" s="4">
        <f t="shared" si="10"/>
        <v>1.4073055836147449E-2</v>
      </c>
      <c r="AI54" s="4">
        <f t="shared" si="32"/>
        <v>0.12939597946635115</v>
      </c>
      <c r="AJ54" s="4">
        <f t="shared" si="33"/>
        <v>3.829063971122465E-2</v>
      </c>
      <c r="AX54" s="2"/>
      <c r="AY54" s="2"/>
      <c r="AZ54" s="2"/>
      <c r="BA54" s="2"/>
      <c r="BB54" s="2"/>
      <c r="BC54" s="2"/>
      <c r="BD54" s="2"/>
      <c r="BE54" s="2"/>
    </row>
    <row r="55" spans="1:57" customFormat="1" ht="16" x14ac:dyDescent="0.2">
      <c r="A55" s="2" t="s">
        <v>18</v>
      </c>
      <c r="B55" s="2" t="s">
        <v>153</v>
      </c>
      <c r="C55" s="2" t="s">
        <v>154</v>
      </c>
      <c r="D55">
        <v>-39.4</v>
      </c>
      <c r="E55" s="9">
        <v>176.24</v>
      </c>
      <c r="F55" s="9">
        <v>3</v>
      </c>
      <c r="G55" s="1" t="s">
        <v>138</v>
      </c>
      <c r="H55" s="11" t="s">
        <v>60</v>
      </c>
      <c r="I55" s="2">
        <v>1973</v>
      </c>
      <c r="J55" s="16">
        <v>1973</v>
      </c>
      <c r="K55" s="16">
        <v>2000</v>
      </c>
      <c r="L55" s="15">
        <v>1512</v>
      </c>
      <c r="M55" s="16">
        <v>1304</v>
      </c>
      <c r="N55" s="19">
        <f t="shared" si="2"/>
        <v>1.1595092024539877</v>
      </c>
      <c r="O55" s="19">
        <f t="shared" si="3"/>
        <v>0.68121693121693117</v>
      </c>
      <c r="P55" s="15">
        <v>1512</v>
      </c>
      <c r="Q55" s="16">
        <v>1304</v>
      </c>
      <c r="R55" s="19">
        <f t="shared" si="13"/>
        <v>1.1595092024539877</v>
      </c>
      <c r="S55" s="19" t="e">
        <f t="shared" si="4"/>
        <v>#N/A</v>
      </c>
      <c r="T55" s="19">
        <f t="shared" si="0"/>
        <v>0.78987730061349692</v>
      </c>
      <c r="U55" s="37">
        <f t="shared" si="5"/>
        <v>0.7623754970664558</v>
      </c>
      <c r="V55" s="37">
        <f t="shared" si="5"/>
        <v>0.77462444074858983</v>
      </c>
      <c r="W55" s="37">
        <f t="shared" si="5"/>
        <v>0.74902882803092363</v>
      </c>
      <c r="X55" s="36">
        <v>1554</v>
      </c>
      <c r="Y55" s="36">
        <v>1030</v>
      </c>
      <c r="Z55" s="39"/>
      <c r="AA55" s="4">
        <f t="shared" si="30"/>
        <v>0.78987730061349692</v>
      </c>
      <c r="AB55" s="4">
        <f t="shared" si="31"/>
        <v>0.74902882803092363</v>
      </c>
      <c r="AC55" s="4">
        <f t="shared" si="8"/>
        <v>4.0848472582573292E-2</v>
      </c>
      <c r="AD55" s="39"/>
      <c r="AE55" s="4">
        <f t="shared" si="14"/>
        <v>2.9282838084832247E-2</v>
      </c>
      <c r="AF55" s="4">
        <f t="shared" si="10"/>
        <v>1.6971267466435468E-2</v>
      </c>
      <c r="AI55" s="4">
        <f t="shared" si="32"/>
        <v>6.1589500741439589E-2</v>
      </c>
      <c r="AJ55" s="4">
        <f t="shared" si="33"/>
        <v>4.2983177981356001E-2</v>
      </c>
    </row>
    <row r="56" spans="1:57" s="29" customFormat="1" ht="16" x14ac:dyDescent="0.2">
      <c r="A56" s="27" t="s">
        <v>18</v>
      </c>
      <c r="B56" s="23" t="s">
        <v>147</v>
      </c>
      <c r="C56" s="23" t="s">
        <v>150</v>
      </c>
      <c r="D56" s="24">
        <v>-37.254170000000002</v>
      </c>
      <c r="E56" s="24">
        <v>-73.187624</v>
      </c>
      <c r="F56" s="24">
        <v>1</v>
      </c>
      <c r="G56" s="25" t="s">
        <v>161</v>
      </c>
      <c r="H56" s="28" t="s">
        <v>60</v>
      </c>
      <c r="I56" s="27">
        <v>1996</v>
      </c>
      <c r="J56" s="16">
        <v>2017</v>
      </c>
      <c r="K56" s="16">
        <v>2020</v>
      </c>
      <c r="L56" s="18">
        <v>1395</v>
      </c>
      <c r="M56" s="19">
        <v>1515</v>
      </c>
      <c r="N56" s="19">
        <f t="shared" si="2"/>
        <v>0.92079207920792083</v>
      </c>
      <c r="O56" s="19">
        <f t="shared" ref="O56:O61" si="34">Y56/X56</f>
        <v>0.43693962940824865</v>
      </c>
      <c r="P56" s="18">
        <v>1673</v>
      </c>
      <c r="Q56" s="19">
        <v>1467</v>
      </c>
      <c r="R56" s="19">
        <f t="shared" si="13"/>
        <v>1.1404226312201773</v>
      </c>
      <c r="S56" s="19" t="e">
        <f t="shared" si="4"/>
        <v>#N/A</v>
      </c>
      <c r="T56" s="19">
        <f t="shared" ref="T56:T61" si="35">IF(ISNA(S56),AA56,NA())</f>
        <v>0.49829584185412407</v>
      </c>
      <c r="U56" s="37">
        <f t="shared" si="5"/>
        <v>0.75700813763889085</v>
      </c>
      <c r="V56" s="37">
        <f t="shared" si="5"/>
        <v>0.76921486427673447</v>
      </c>
      <c r="W56" s="37">
        <f t="shared" si="5"/>
        <v>0.7437128023174413</v>
      </c>
      <c r="X56" s="38">
        <v>1673</v>
      </c>
      <c r="Y56" s="36">
        <v>731</v>
      </c>
      <c r="Z56" s="39">
        <v>465</v>
      </c>
      <c r="AA56" s="23">
        <f t="shared" si="30"/>
        <v>0.49829584185412407</v>
      </c>
      <c r="AB56" s="23">
        <f t="shared" si="31"/>
        <v>0.7437128023174413</v>
      </c>
      <c r="AC56" s="23">
        <f t="shared" si="8"/>
        <v>-0.24541696046331724</v>
      </c>
      <c r="AD56" s="37">
        <v>1</v>
      </c>
      <c r="AE56" s="23">
        <f t="shared" ref="AE56:AE58" si="36">(AA56-AE$3)^2</f>
        <v>1.4510411373404223E-2</v>
      </c>
      <c r="AF56" s="23">
        <f t="shared" ref="AF56:AF58" si="37">(AB56-AE$3)^2</f>
        <v>1.5614449671006439E-2</v>
      </c>
      <c r="AI56" s="23">
        <f t="shared" ref="AI56:AI58" si="38">(T56-AI$3)^2</f>
        <v>1.8843532705881941E-3</v>
      </c>
      <c r="AJ56" s="23">
        <f t="shared" ref="AJ56:AJ58" si="39">(W56-AI$3)^2</f>
        <v>4.0807160295954069E-2</v>
      </c>
    </row>
    <row r="57" spans="1:57" s="29" customFormat="1" ht="16" x14ac:dyDescent="0.2">
      <c r="A57" s="27" t="s">
        <v>18</v>
      </c>
      <c r="B57" s="27" t="s">
        <v>148</v>
      </c>
      <c r="C57" s="27" t="s">
        <v>151</v>
      </c>
      <c r="D57" s="30">
        <v>-35.38908</v>
      </c>
      <c r="E57" s="30">
        <v>-72.22</v>
      </c>
      <c r="F57" s="30">
        <v>3</v>
      </c>
      <c r="G57" s="25" t="s">
        <v>161</v>
      </c>
      <c r="H57" s="28" t="s">
        <v>60</v>
      </c>
      <c r="I57" s="27">
        <v>2003</v>
      </c>
      <c r="J57" s="16">
        <v>2016</v>
      </c>
      <c r="K57" s="16">
        <v>2017</v>
      </c>
      <c r="L57" s="16">
        <v>1016</v>
      </c>
      <c r="M57" s="16">
        <v>1855</v>
      </c>
      <c r="N57" s="19">
        <f t="shared" si="2"/>
        <v>0.54770889487870622</v>
      </c>
      <c r="O57" s="19">
        <f t="shared" si="34"/>
        <v>0.86081694402420572</v>
      </c>
      <c r="P57" s="45">
        <v>661</v>
      </c>
      <c r="Q57" s="46">
        <v>1781</v>
      </c>
      <c r="R57" s="19">
        <f t="shared" si="13"/>
        <v>0.37113980909601346</v>
      </c>
      <c r="S57" s="19" t="e">
        <f t="shared" si="4"/>
        <v>#N/A</v>
      </c>
      <c r="T57" s="19">
        <f t="shared" si="35"/>
        <v>0.31948343627175746</v>
      </c>
      <c r="U57" s="37">
        <f t="shared" si="5"/>
        <v>0.3474868727958591</v>
      </c>
      <c r="V57" s="37">
        <f t="shared" si="5"/>
        <v>0.35049669190144161</v>
      </c>
      <c r="W57" s="37">
        <f t="shared" si="5"/>
        <v>0.34400265849513767</v>
      </c>
      <c r="X57" s="40">
        <v>661</v>
      </c>
      <c r="Y57" s="36">
        <v>569</v>
      </c>
      <c r="Z57" s="39">
        <v>377</v>
      </c>
      <c r="AA57" s="23">
        <f t="shared" si="30"/>
        <v>0.31948343627175746</v>
      </c>
      <c r="AB57" s="23">
        <f t="shared" si="31"/>
        <v>0.34400265849513767</v>
      </c>
      <c r="AC57" s="23">
        <f t="shared" si="8"/>
        <v>-2.451922222338021E-2</v>
      </c>
      <c r="AD57" s="37">
        <v>0.5</v>
      </c>
      <c r="AE57" s="23">
        <f t="shared" si="36"/>
        <v>8.95634752964478E-2</v>
      </c>
      <c r="AF57" s="23">
        <f t="shared" si="37"/>
        <v>7.5488855074869438E-2</v>
      </c>
      <c r="AI57" s="23">
        <f t="shared" si="38"/>
        <v>4.9382414476590981E-2</v>
      </c>
      <c r="AJ57" s="23">
        <f t="shared" si="39"/>
        <v>3.9086207910287524E-2</v>
      </c>
    </row>
    <row r="58" spans="1:57" s="29" customFormat="1" ht="16" x14ac:dyDescent="0.2">
      <c r="A58" s="27" t="s">
        <v>18</v>
      </c>
      <c r="B58" s="27" t="s">
        <v>155</v>
      </c>
      <c r="C58" s="27" t="s">
        <v>152</v>
      </c>
      <c r="D58" s="30">
        <v>-39.909999999999997</v>
      </c>
      <c r="E58" s="30">
        <v>-73.099999999999994</v>
      </c>
      <c r="F58" s="30">
        <v>3</v>
      </c>
      <c r="G58" s="26" t="s">
        <v>157</v>
      </c>
      <c r="H58" s="28" t="s">
        <v>60</v>
      </c>
      <c r="I58" s="29">
        <v>1990</v>
      </c>
      <c r="J58" s="46">
        <v>2012</v>
      </c>
      <c r="K58" s="46">
        <v>2017</v>
      </c>
      <c r="L58" s="46">
        <v>2210</v>
      </c>
      <c r="M58" s="46">
        <v>1110</v>
      </c>
      <c r="N58" s="19">
        <f t="shared" si="2"/>
        <v>1.9909909909909911</v>
      </c>
      <c r="O58" s="19">
        <f t="shared" si="34"/>
        <v>0.50969387755102036</v>
      </c>
      <c r="P58" s="45">
        <v>1960</v>
      </c>
      <c r="Q58" s="46">
        <v>1080</v>
      </c>
      <c r="R58" s="19">
        <f t="shared" si="13"/>
        <v>1.8148148148148149</v>
      </c>
      <c r="S58" s="19" t="e">
        <f t="shared" si="4"/>
        <v>#N/A</v>
      </c>
      <c r="T58" s="46">
        <f t="shared" si="35"/>
        <v>0.92500000000000004</v>
      </c>
      <c r="U58" s="37">
        <f t="shared" si="5"/>
        <v>0.87788287251113872</v>
      </c>
      <c r="V58" s="37">
        <f t="shared" si="5"/>
        <v>0.88897887442586598</v>
      </c>
      <c r="W58" s="37">
        <f t="shared" si="5"/>
        <v>0.86548393799226631</v>
      </c>
      <c r="X58" s="40">
        <f>P58</f>
        <v>1960</v>
      </c>
      <c r="Y58" s="39">
        <v>999</v>
      </c>
      <c r="Z58" s="39"/>
      <c r="AA58" s="23">
        <f t="shared" si="30"/>
        <v>0.92500000000000004</v>
      </c>
      <c r="AB58" s="23">
        <f t="shared" si="31"/>
        <v>0.86548393799226631</v>
      </c>
      <c r="AC58" s="23">
        <f t="shared" si="8"/>
        <v>5.9516062007733739E-2</v>
      </c>
      <c r="AD58" s="39">
        <v>1.5</v>
      </c>
      <c r="AE58" s="29">
        <f t="shared" si="36"/>
        <v>9.3785993434836873E-2</v>
      </c>
      <c r="AF58" s="29">
        <f t="shared" si="37"/>
        <v>6.087516353336956E-2</v>
      </c>
      <c r="AI58" s="29">
        <f t="shared" si="38"/>
        <v>0.14691507239193913</v>
      </c>
      <c r="AJ58" s="29">
        <f t="shared" si="39"/>
        <v>0.10483281366824029</v>
      </c>
    </row>
    <row r="59" spans="1:57" s="29" customFormat="1" ht="16" x14ac:dyDescent="0.2">
      <c r="A59" s="27" t="s">
        <v>18</v>
      </c>
      <c r="B59" s="27" t="s">
        <v>156</v>
      </c>
      <c r="C59" s="27" t="s">
        <v>152</v>
      </c>
      <c r="D59" s="30">
        <v>-39.909999999999997</v>
      </c>
      <c r="E59" s="30">
        <v>-73.099999999999994</v>
      </c>
      <c r="F59" s="30">
        <v>3</v>
      </c>
      <c r="G59" s="26" t="s">
        <v>157</v>
      </c>
      <c r="H59" s="28" t="s">
        <v>60</v>
      </c>
      <c r="I59" s="29">
        <v>1990</v>
      </c>
      <c r="J59" s="46">
        <v>2012</v>
      </c>
      <c r="K59" s="46">
        <v>2017</v>
      </c>
      <c r="L59" s="46">
        <v>2210</v>
      </c>
      <c r="M59" s="46">
        <v>1110</v>
      </c>
      <c r="N59" s="19">
        <f t="shared" si="2"/>
        <v>1.9909909909909911</v>
      </c>
      <c r="O59" s="19">
        <f t="shared" si="34"/>
        <v>0.46020408163265308</v>
      </c>
      <c r="P59" s="45">
        <v>1960</v>
      </c>
      <c r="Q59" s="46">
        <v>1080</v>
      </c>
      <c r="R59" s="19">
        <f t="shared" si="13"/>
        <v>1.8148148148148149</v>
      </c>
      <c r="S59" s="19" t="e">
        <f t="shared" si="4"/>
        <v>#N/A</v>
      </c>
      <c r="T59" s="46">
        <f t="shared" si="35"/>
        <v>0.83518518518518514</v>
      </c>
      <c r="U59" s="37">
        <f t="shared" si="5"/>
        <v>0.87788287251113872</v>
      </c>
      <c r="V59" s="37">
        <f t="shared" si="5"/>
        <v>0.88897887442586598</v>
      </c>
      <c r="W59" s="37">
        <f t="shared" si="5"/>
        <v>0.86548393799226631</v>
      </c>
      <c r="X59" s="40">
        <f>P59</f>
        <v>1960</v>
      </c>
      <c r="Y59" s="39">
        <v>902</v>
      </c>
      <c r="Z59" s="39"/>
      <c r="AA59" s="23">
        <f t="shared" si="30"/>
        <v>0.83518518518518514</v>
      </c>
      <c r="AB59" s="23">
        <f t="shared" si="31"/>
        <v>0.86548393799226631</v>
      </c>
      <c r="AC59" s="23">
        <f t="shared" si="8"/>
        <v>-3.0298752807081164E-2</v>
      </c>
      <c r="AD59" s="39">
        <v>1.5</v>
      </c>
      <c r="AE59" s="29">
        <f t="shared" ref="AE59" si="40">(AA59-AE$3)^2</f>
        <v>4.6842020401877994E-2</v>
      </c>
      <c r="AF59" s="29">
        <f t="shared" ref="AF59" si="41">(AB59-AE$3)^2</f>
        <v>6.087516353336956E-2</v>
      </c>
      <c r="AI59" s="29">
        <f t="shared" ref="AI59" si="42">(T59-AI$3)^2</f>
        <v>8.6130630862443269E-2</v>
      </c>
      <c r="AJ59" s="29">
        <f t="shared" ref="AJ59" si="43">(W59-AI$3)^2</f>
        <v>0.10483281366824029</v>
      </c>
    </row>
    <row r="60" spans="1:57" s="22" customFormat="1" ht="16" x14ac:dyDescent="0.2">
      <c r="A60" s="20" t="s">
        <v>18</v>
      </c>
      <c r="B60" s="20" t="s">
        <v>162</v>
      </c>
      <c r="C60" s="20" t="s">
        <v>322</v>
      </c>
      <c r="D60" s="22">
        <v>-37.25</v>
      </c>
      <c r="E60" s="22">
        <v>-72.75</v>
      </c>
      <c r="F60" s="22">
        <v>3</v>
      </c>
      <c r="G60" s="31" t="s">
        <v>163</v>
      </c>
      <c r="H60" s="22" t="s">
        <v>60</v>
      </c>
      <c r="I60" s="22">
        <v>1987</v>
      </c>
      <c r="J60" s="46">
        <v>2008</v>
      </c>
      <c r="K60" s="46">
        <v>2017</v>
      </c>
      <c r="L60" s="46">
        <v>959</v>
      </c>
      <c r="M60" s="46">
        <v>1587</v>
      </c>
      <c r="N60" s="19">
        <f t="shared" si="2"/>
        <v>0.60428481411468182</v>
      </c>
      <c r="O60" s="19">
        <f t="shared" si="34"/>
        <v>0.81367924528301883</v>
      </c>
      <c r="P60" s="45">
        <f>X60</f>
        <v>1272</v>
      </c>
      <c r="Q60" s="46">
        <v>1600</v>
      </c>
      <c r="R60" s="46">
        <f t="shared" si="13"/>
        <v>0.79500000000000004</v>
      </c>
      <c r="S60" s="19" t="e">
        <f t="shared" ref="S60" si="44">IF(A60="Euc",AA60,NA())</f>
        <v>#N/A</v>
      </c>
      <c r="T60" s="46">
        <f t="shared" si="35"/>
        <v>0.64687499999999998</v>
      </c>
      <c r="U60" s="39">
        <f t="shared" si="5"/>
        <v>0.62616962282713362</v>
      </c>
      <c r="V60" s="39">
        <f t="shared" si="5"/>
        <v>0.63599434091954521</v>
      </c>
      <c r="W60" s="39">
        <f t="shared" si="5"/>
        <v>0.61543639536933403</v>
      </c>
      <c r="X60" s="40">
        <v>1272</v>
      </c>
      <c r="Y60" s="39">
        <v>1035</v>
      </c>
      <c r="Z60" s="39"/>
      <c r="AA60" s="21">
        <f t="shared" si="30"/>
        <v>0.64687499999999998</v>
      </c>
      <c r="AB60" s="22">
        <f t="shared" si="31"/>
        <v>0.61543639536933403</v>
      </c>
      <c r="AD60" s="39">
        <v>4</v>
      </c>
      <c r="AE60" s="22">
        <f t="shared" ref="AE60:AE61" si="45">(AA60-AE$3)^2</f>
        <v>7.9073379487875327E-4</v>
      </c>
      <c r="AF60" s="22">
        <f t="shared" ref="AF60:AF61" si="46">(AB60-AE$3)^2</f>
        <v>1.1013208108682122E-5</v>
      </c>
      <c r="AI60" s="22">
        <f t="shared" ref="AI60:AI61" si="47">(T60-AI$3)^2</f>
        <v>1.1060733116441892E-2</v>
      </c>
      <c r="AJ60" s="22">
        <f t="shared" ref="AJ60:AJ61" si="48">(W60-AI$3)^2</f>
        <v>5.4363216191246188E-3</v>
      </c>
    </row>
    <row r="61" spans="1:57" s="22" customFormat="1" ht="16" x14ac:dyDescent="0.2">
      <c r="A61" s="20" t="s">
        <v>18</v>
      </c>
      <c r="B61" s="20" t="s">
        <v>165</v>
      </c>
      <c r="C61" s="20" t="s">
        <v>322</v>
      </c>
      <c r="D61" s="22">
        <v>-37.25</v>
      </c>
      <c r="E61" s="22">
        <v>-72.75</v>
      </c>
      <c r="F61" s="22">
        <v>3</v>
      </c>
      <c r="G61" s="31" t="s">
        <v>163</v>
      </c>
      <c r="H61" s="22" t="s">
        <v>60</v>
      </c>
      <c r="I61" s="22">
        <v>1987</v>
      </c>
      <c r="J61" s="46">
        <v>2008</v>
      </c>
      <c r="K61" s="46">
        <v>2017</v>
      </c>
      <c r="L61" s="46">
        <v>959</v>
      </c>
      <c r="M61" s="46">
        <v>1587</v>
      </c>
      <c r="N61" s="19">
        <f t="shared" ref="N61" si="49">L61/M61</f>
        <v>0.60428481411468182</v>
      </c>
      <c r="O61" s="19">
        <f t="shared" si="34"/>
        <v>0.81317829457364343</v>
      </c>
      <c r="P61" s="45">
        <f>X61</f>
        <v>1290</v>
      </c>
      <c r="Q61" s="46">
        <v>1600</v>
      </c>
      <c r="R61" s="46">
        <f t="shared" ref="R61" si="50">P61/Q61</f>
        <v>0.80625000000000002</v>
      </c>
      <c r="S61" s="19" t="e">
        <f t="shared" ref="S61" si="51">IF(A61="Euc",AA61,NA())</f>
        <v>#N/A</v>
      </c>
      <c r="T61" s="46">
        <f t="shared" si="35"/>
        <v>0.65562500000000001</v>
      </c>
      <c r="U61" s="39">
        <f t="shared" si="5"/>
        <v>0.63162048584735841</v>
      </c>
      <c r="V61" s="39">
        <f t="shared" si="5"/>
        <v>0.64157835768798077</v>
      </c>
      <c r="W61" s="39">
        <f t="shared" si="5"/>
        <v>0.62074751522593519</v>
      </c>
      <c r="X61" s="39">
        <v>1290</v>
      </c>
      <c r="Y61" s="39">
        <v>1049</v>
      </c>
      <c r="Z61" s="39"/>
      <c r="AA61" s="21">
        <f t="shared" ref="AA61" si="52">Y61/Q61</f>
        <v>0.65562500000000001</v>
      </c>
      <c r="AB61" s="22">
        <f t="shared" ref="AB61" si="53">W61</f>
        <v>0.62074751522593519</v>
      </c>
      <c r="AD61" s="39">
        <v>4</v>
      </c>
      <c r="AE61" s="22">
        <f t="shared" si="45"/>
        <v>1.3593961065853019E-3</v>
      </c>
      <c r="AF61" s="22">
        <f t="shared" si="46"/>
        <v>3.9700740482624085E-6</v>
      </c>
      <c r="AI61" s="22">
        <f t="shared" si="47"/>
        <v>1.2977770967244059E-2</v>
      </c>
      <c r="AJ61" s="22">
        <f t="shared" si="48"/>
        <v>6.2477223821894553E-3</v>
      </c>
    </row>
    <row r="62" spans="1:57" x14ac:dyDescent="0.2">
      <c r="R62" s="47" t="s">
        <v>3</v>
      </c>
      <c r="S62" s="47"/>
      <c r="T62" s="47"/>
      <c r="U62" s="47" t="s">
        <v>28</v>
      </c>
      <c r="V62" s="47" t="s">
        <v>9</v>
      </c>
      <c r="W62" s="47" t="s">
        <v>18</v>
      </c>
      <c r="X62" s="47" t="s">
        <v>140</v>
      </c>
    </row>
    <row r="63" spans="1:57" x14ac:dyDescent="0.2">
      <c r="A63" s="3" t="s">
        <v>44</v>
      </c>
      <c r="R63" s="47">
        <v>0.01</v>
      </c>
      <c r="S63" s="47"/>
      <c r="T63" s="47"/>
      <c r="U63" s="48">
        <f>1+$R63-(1+$R63^U$3)^(1/U$3)</f>
        <v>9.9987914935280031E-3</v>
      </c>
      <c r="V63" s="48">
        <f t="shared" ref="U63:W78" si="54">1+$R63-(1+$R63^V$3)^(1/V$3)</f>
        <v>9.9992715904433371E-3</v>
      </c>
      <c r="W63" s="48">
        <f t="shared" si="54"/>
        <v>9.9979921813007078E-3</v>
      </c>
      <c r="X63" s="47">
        <f>V63/W63</f>
        <v>1.0001279666076377</v>
      </c>
    </row>
    <row r="64" spans="1:57" x14ac:dyDescent="0.2">
      <c r="A64" s="5" t="s">
        <v>30</v>
      </c>
      <c r="R64" s="47">
        <v>0.1</v>
      </c>
      <c r="S64" s="47"/>
      <c r="T64" s="47"/>
      <c r="U64" s="48">
        <f t="shared" si="54"/>
        <v>9.9336258942203326E-2</v>
      </c>
      <c r="V64" s="48">
        <f t="shared" si="54"/>
        <v>9.9493973172983363E-2</v>
      </c>
      <c r="W64" s="48">
        <f t="shared" si="54"/>
        <v>9.9128203391618319E-2</v>
      </c>
      <c r="X64" s="47">
        <f t="shared" ref="X64:X84" si="55">V64/W64</f>
        <v>1.0036898659397671</v>
      </c>
    </row>
    <row r="65" spans="1:24" x14ac:dyDescent="0.2">
      <c r="A65" s="5" t="s">
        <v>31</v>
      </c>
      <c r="R65" s="47">
        <v>0.2</v>
      </c>
      <c r="S65" s="47"/>
      <c r="T65" s="47"/>
      <c r="U65" s="48">
        <f t="shared" si="54"/>
        <v>0.19558019557317818</v>
      </c>
      <c r="V65" s="48">
        <f t="shared" si="54"/>
        <v>0.19638209626212366</v>
      </c>
      <c r="W65" s="48">
        <f t="shared" si="54"/>
        <v>0.19459343614458047</v>
      </c>
      <c r="X65" s="47">
        <f t="shared" si="55"/>
        <v>1.0091917803240509</v>
      </c>
    </row>
    <row r="66" spans="1:24" x14ac:dyDescent="0.2">
      <c r="A66" s="5" t="s">
        <v>32</v>
      </c>
      <c r="R66" s="47">
        <v>0.3</v>
      </c>
      <c r="S66" s="47"/>
      <c r="T66" s="48"/>
      <c r="U66" s="48">
        <f t="shared" si="54"/>
        <v>0.28667886965829292</v>
      </c>
      <c r="V66" s="48">
        <f t="shared" si="54"/>
        <v>0.28862856120043823</v>
      </c>
      <c r="W66" s="48">
        <f t="shared" si="54"/>
        <v>0.28437462725674645</v>
      </c>
      <c r="X66" s="47">
        <f t="shared" si="55"/>
        <v>1.0149589082005235</v>
      </c>
    </row>
    <row r="67" spans="1:24" x14ac:dyDescent="0.2">
      <c r="A67" s="5" t="s">
        <v>33</v>
      </c>
      <c r="R67" s="47">
        <v>0.4</v>
      </c>
      <c r="S67" s="47"/>
      <c r="T67" s="48"/>
      <c r="U67" s="48">
        <f t="shared" si="54"/>
        <v>0.3710911853516039</v>
      </c>
      <c r="V67" s="48">
        <f t="shared" si="54"/>
        <v>0.37457235395631772</v>
      </c>
      <c r="W67" s="48">
        <f t="shared" si="54"/>
        <v>0.36708989963152305</v>
      </c>
      <c r="X67" s="47">
        <f t="shared" si="55"/>
        <v>1.0203831659010651</v>
      </c>
    </row>
    <row r="68" spans="1:24" x14ac:dyDescent="0.2">
      <c r="A68" s="5" t="s">
        <v>34</v>
      </c>
      <c r="R68" s="47">
        <v>0.5</v>
      </c>
      <c r="S68" s="47"/>
      <c r="T68" s="48"/>
      <c r="U68" s="48">
        <f t="shared" si="54"/>
        <v>0.44777394247895619</v>
      </c>
      <c r="V68" s="48">
        <f t="shared" si="54"/>
        <v>0.45298859815670656</v>
      </c>
      <c r="W68" s="48">
        <f t="shared" si="54"/>
        <v>0.44189990800803547</v>
      </c>
      <c r="X68" s="47">
        <f t="shared" si="55"/>
        <v>1.0250932166939248</v>
      </c>
    </row>
    <row r="69" spans="1:24" x14ac:dyDescent="0.2">
      <c r="A69" s="5" t="s">
        <v>170</v>
      </c>
      <c r="R69" s="47">
        <v>0.6</v>
      </c>
      <c r="S69" s="47"/>
      <c r="T69" s="48"/>
      <c r="U69" s="48">
        <f t="shared" si="54"/>
        <v>0.51620507609586963</v>
      </c>
      <c r="V69" s="48">
        <f t="shared" si="54"/>
        <v>0.52316304136949277</v>
      </c>
      <c r="W69" s="48">
        <f t="shared" si="54"/>
        <v>0.50848044834714234</v>
      </c>
      <c r="X69" s="47">
        <f t="shared" si="55"/>
        <v>1.0288754328117775</v>
      </c>
    </row>
    <row r="70" spans="1:24" x14ac:dyDescent="0.2">
      <c r="A70" s="5">
        <v>2.74</v>
      </c>
      <c r="R70" s="47">
        <v>0.7</v>
      </c>
      <c r="S70" s="47"/>
      <c r="T70" s="48"/>
      <c r="U70" s="48">
        <f t="shared" si="54"/>
        <v>0.5763562086486651</v>
      </c>
      <c r="V70" s="48">
        <f t="shared" si="54"/>
        <v>0.58490610364916185</v>
      </c>
      <c r="W70" s="48">
        <f t="shared" si="54"/>
        <v>0.56695883869425701</v>
      </c>
      <c r="X70" s="47">
        <f t="shared" si="55"/>
        <v>1.0316553226266629</v>
      </c>
    </row>
    <row r="71" spans="1:24" x14ac:dyDescent="0.2">
      <c r="A71" s="5" t="s">
        <v>171</v>
      </c>
      <c r="R71" s="47">
        <v>0.8</v>
      </c>
      <c r="S71" s="47"/>
      <c r="T71" s="48"/>
      <c r="U71" s="48">
        <f t="shared" si="54"/>
        <v>0.6286035701265591</v>
      </c>
      <c r="V71" s="48">
        <f t="shared" si="54"/>
        <v>0.63848795004462677</v>
      </c>
      <c r="W71" s="48">
        <f t="shared" si="54"/>
        <v>0.6178077395506818</v>
      </c>
      <c r="X71" s="47">
        <f t="shared" si="55"/>
        <v>1.0334735374292741</v>
      </c>
    </row>
    <row r="72" spans="1:24" x14ac:dyDescent="0.2">
      <c r="A72" s="5"/>
      <c r="R72" s="47">
        <v>0.9</v>
      </c>
      <c r="S72" s="47"/>
      <c r="T72" s="48"/>
      <c r="U72" s="48">
        <f t="shared" si="54"/>
        <v>0.67360119637954696</v>
      </c>
      <c r="V72" s="48">
        <f t="shared" si="54"/>
        <v>0.68451542805735044</v>
      </c>
      <c r="W72" s="48">
        <f t="shared" si="54"/>
        <v>0.66171998954975653</v>
      </c>
      <c r="X72" s="47">
        <f t="shared" si="55"/>
        <v>1.0344487681611436</v>
      </c>
    </row>
    <row r="73" spans="1:24" x14ac:dyDescent="0.2">
      <c r="A73" s="5" t="s">
        <v>172</v>
      </c>
      <c r="R73" s="47">
        <v>1</v>
      </c>
      <c r="S73" s="47"/>
      <c r="T73" s="48"/>
      <c r="U73" s="48">
        <f t="shared" si="54"/>
        <v>0.71215095006058049</v>
      </c>
      <c r="V73" s="48">
        <f t="shared" si="54"/>
        <v>0.7237907605969085</v>
      </c>
      <c r="W73" s="48">
        <f t="shared" si="54"/>
        <v>0.69949219570545762</v>
      </c>
      <c r="X73" s="47">
        <f t="shared" si="55"/>
        <v>1.0347374353003969</v>
      </c>
    </row>
    <row r="74" spans="1:24" x14ac:dyDescent="0.2">
      <c r="A74" s="5" t="s">
        <v>173</v>
      </c>
      <c r="R74" s="47">
        <v>1.1000000000000001</v>
      </c>
      <c r="S74" s="47"/>
      <c r="T74" s="48"/>
      <c r="U74" s="48">
        <f t="shared" si="54"/>
        <v>0.74509547210531246</v>
      </c>
      <c r="V74" s="48">
        <f t="shared" si="54"/>
        <v>0.75718718955130715</v>
      </c>
      <c r="W74" s="48">
        <f t="shared" si="54"/>
        <v>0.73193477270424379</v>
      </c>
      <c r="X74" s="47">
        <f t="shared" si="55"/>
        <v>1.03450091154129</v>
      </c>
    </row>
    <row r="75" spans="1:24" x14ac:dyDescent="0.2">
      <c r="A75" s="5" t="s">
        <v>174</v>
      </c>
      <c r="R75" s="47">
        <v>1.2</v>
      </c>
      <c r="S75" s="47"/>
      <c r="T75" s="48"/>
      <c r="U75" s="48">
        <f t="shared" si="54"/>
        <v>0.77324470402708689</v>
      </c>
      <c r="V75" s="48">
        <f t="shared" si="54"/>
        <v>0.78555948034717238</v>
      </c>
      <c r="W75" s="48">
        <f t="shared" si="54"/>
        <v>0.7598132331520242</v>
      </c>
      <c r="X75" s="47">
        <f t="shared" si="55"/>
        <v>1.0338849681366327</v>
      </c>
    </row>
    <row r="76" spans="1:24" x14ac:dyDescent="0.2">
      <c r="A76" s="5" t="s">
        <v>36</v>
      </c>
      <c r="R76" s="47">
        <v>1.3</v>
      </c>
      <c r="S76" s="47"/>
      <c r="T76" s="48"/>
      <c r="U76" s="48">
        <f t="shared" si="54"/>
        <v>0.79733421361838563</v>
      </c>
      <c r="V76" s="48">
        <f t="shared" si="54"/>
        <v>0.80969084772963407</v>
      </c>
      <c r="W76" s="48">
        <f t="shared" si="54"/>
        <v>0.78381668681769123</v>
      </c>
      <c r="X76" s="47">
        <f t="shared" si="55"/>
        <v>1.0330104747029467</v>
      </c>
    </row>
    <row r="77" spans="1:24" x14ac:dyDescent="0.2">
      <c r="A77" s="5" t="s">
        <v>175</v>
      </c>
      <c r="R77" s="47">
        <v>1.4</v>
      </c>
      <c r="S77" s="47"/>
      <c r="T77" s="48"/>
      <c r="U77" s="48">
        <f t="shared" si="54"/>
        <v>0.81800760510321591</v>
      </c>
      <c r="V77" s="48">
        <f t="shared" si="54"/>
        <v>0.8302688160399454</v>
      </c>
      <c r="W77" s="48">
        <f t="shared" si="54"/>
        <v>0.80454600810549626</v>
      </c>
      <c r="X77" s="47">
        <f t="shared" si="55"/>
        <v>1.0319718296720157</v>
      </c>
    </row>
    <row r="78" spans="1:24" x14ac:dyDescent="0.2">
      <c r="A78" s="5" t="s">
        <v>176</v>
      </c>
      <c r="R78" s="47">
        <v>1.5</v>
      </c>
      <c r="S78" s="47"/>
      <c r="T78" s="48"/>
      <c r="U78" s="48">
        <f t="shared" si="54"/>
        <v>0.83581443476614736</v>
      </c>
      <c r="V78" s="48">
        <f t="shared" si="54"/>
        <v>0.84788024903567405</v>
      </c>
      <c r="W78" s="48">
        <f t="shared" si="54"/>
        <v>0.82251427489700357</v>
      </c>
      <c r="X78" s="47">
        <f t="shared" si="55"/>
        <v>1.0308395549023717</v>
      </c>
    </row>
    <row r="79" spans="1:24" x14ac:dyDescent="0.2">
      <c r="A79" s="5" t="s">
        <v>177</v>
      </c>
      <c r="R79" s="47">
        <v>1.6</v>
      </c>
      <c r="S79" s="47"/>
      <c r="T79" s="47"/>
      <c r="U79" s="47">
        <f t="shared" ref="U79:W84" si="56">1+$R79-(1+$R79^U$3)^(1/U$3)</f>
        <v>0.85121668528433858</v>
      </c>
      <c r="V79" s="47">
        <f t="shared" si="56"/>
        <v>0.86301720138049398</v>
      </c>
      <c r="W79" s="47">
        <f t="shared" si="56"/>
        <v>0.83815378548519237</v>
      </c>
      <c r="X79" s="47">
        <f t="shared" si="55"/>
        <v>1.029664503490739</v>
      </c>
    </row>
    <row r="80" spans="1:24" x14ac:dyDescent="0.2">
      <c r="A80" s="5" t="s">
        <v>178</v>
      </c>
      <c r="R80" s="47">
        <v>1.7</v>
      </c>
      <c r="S80" s="47"/>
      <c r="T80" s="47"/>
      <c r="U80" s="47">
        <f t="shared" si="56"/>
        <v>0.8645990676733879</v>
      </c>
      <c r="V80" s="47">
        <f t="shared" si="56"/>
        <v>0.87608776573631775</v>
      </c>
      <c r="W80" s="47">
        <f t="shared" si="56"/>
        <v>0.85182587471561422</v>
      </c>
      <c r="X80" s="47">
        <f t="shared" si="55"/>
        <v>1.0284822188910421</v>
      </c>
    </row>
    <row r="81" spans="1:31" x14ac:dyDescent="0.2">
      <c r="A81" s="5" t="s">
        <v>179</v>
      </c>
      <c r="R81" s="47">
        <v>1.8</v>
      </c>
      <c r="S81" s="47"/>
      <c r="T81" s="47"/>
      <c r="U81" s="47">
        <f t="shared" si="56"/>
        <v>0.87628031325099998</v>
      </c>
      <c r="V81" s="47">
        <f t="shared" si="56"/>
        <v>0.88742837935111862</v>
      </c>
      <c r="W81" s="47">
        <f t="shared" si="56"/>
        <v>0.86383129689007099</v>
      </c>
      <c r="X81" s="47">
        <f t="shared" si="55"/>
        <v>1.0273167718581173</v>
      </c>
    </row>
    <row r="82" spans="1:31" x14ac:dyDescent="0.2">
      <c r="A82" s="5" t="s">
        <v>180</v>
      </c>
      <c r="R82" s="47">
        <v>1.9</v>
      </c>
      <c r="S82" s="47"/>
      <c r="T82" s="47"/>
      <c r="U82" s="47">
        <f t="shared" si="56"/>
        <v>0.88652394965717107</v>
      </c>
      <c r="V82" s="47">
        <f t="shared" si="56"/>
        <v>0.89731570022935214</v>
      </c>
      <c r="W82" s="47">
        <f t="shared" si="56"/>
        <v>0.87442000553493138</v>
      </c>
      <c r="X82" s="47">
        <f t="shared" si="55"/>
        <v>1.0261838642179901</v>
      </c>
    </row>
    <row r="83" spans="1:31" x14ac:dyDescent="0.2">
      <c r="A83" s="5" t="s">
        <v>37</v>
      </c>
      <c r="R83" s="47">
        <v>2</v>
      </c>
      <c r="S83" s="47"/>
      <c r="T83" s="47"/>
      <c r="U83" s="47">
        <f t="shared" si="56"/>
        <v>0.89554788495791238</v>
      </c>
      <c r="V83" s="47">
        <f t="shared" si="56"/>
        <v>0.90597719631341311</v>
      </c>
      <c r="W83" s="47">
        <f t="shared" si="56"/>
        <v>0.88379981601607138</v>
      </c>
      <c r="X83" s="47">
        <f t="shared" si="55"/>
        <v>1.0250932166939244</v>
      </c>
    </row>
    <row r="84" spans="1:31" x14ac:dyDescent="0.2">
      <c r="A84" s="5" t="s">
        <v>32</v>
      </c>
      <c r="R84" s="47">
        <v>2.5</v>
      </c>
      <c r="S84" s="47"/>
      <c r="T84" s="47"/>
      <c r="U84" s="47">
        <f t="shared" si="56"/>
        <v>0.92772796337900942</v>
      </c>
      <c r="V84" s="47">
        <f t="shared" si="56"/>
        <v>0.93643088489079407</v>
      </c>
      <c r="W84" s="47">
        <f t="shared" si="56"/>
        <v>0.91772474907880719</v>
      </c>
      <c r="X84" s="47">
        <f t="shared" si="55"/>
        <v>1.0203831659010654</v>
      </c>
    </row>
    <row r="85" spans="1:31" x14ac:dyDescent="0.2">
      <c r="A85" s="5" t="s">
        <v>38</v>
      </c>
      <c r="U85" s="36">
        <v>0</v>
      </c>
      <c r="V85" s="36">
        <v>0</v>
      </c>
    </row>
    <row r="86" spans="1:31" x14ac:dyDescent="0.2">
      <c r="A86" s="5" t="s">
        <v>34</v>
      </c>
      <c r="U86" s="36">
        <v>1</v>
      </c>
      <c r="V86" s="36">
        <v>1</v>
      </c>
    </row>
    <row r="87" spans="1:31" x14ac:dyDescent="0.2">
      <c r="A87" s="5" t="s">
        <v>39</v>
      </c>
      <c r="U87" s="36">
        <v>2.5</v>
      </c>
      <c r="V87" s="36">
        <v>1</v>
      </c>
    </row>
    <row r="88" spans="1:31" x14ac:dyDescent="0.2">
      <c r="A88" s="5" t="s">
        <v>181</v>
      </c>
    </row>
    <row r="89" spans="1:31" x14ac:dyDescent="0.2">
      <c r="A89" s="5" t="s">
        <v>182</v>
      </c>
    </row>
    <row r="90" spans="1:31" x14ac:dyDescent="0.2">
      <c r="A90" s="5"/>
      <c r="AE90" s="2">
        <v>1.78</v>
      </c>
    </row>
    <row r="91" spans="1:31" x14ac:dyDescent="0.2">
      <c r="A91" s="5" t="s">
        <v>35</v>
      </c>
      <c r="AE91" s="2">
        <v>1.81</v>
      </c>
    </row>
    <row r="92" spans="1:31" x14ac:dyDescent="0.2">
      <c r="A92" s="5" t="s">
        <v>183</v>
      </c>
      <c r="AE92" s="2">
        <v>1.82</v>
      </c>
    </row>
    <row r="93" spans="1:31" x14ac:dyDescent="0.2">
      <c r="A93" s="5" t="s">
        <v>40</v>
      </c>
      <c r="AE93" s="2">
        <v>1.84</v>
      </c>
    </row>
    <row r="94" spans="1:31" x14ac:dyDescent="0.2">
      <c r="A94" s="5" t="s">
        <v>41</v>
      </c>
    </row>
    <row r="95" spans="1:31" x14ac:dyDescent="0.2">
      <c r="A95" s="5"/>
    </row>
    <row r="96" spans="1:31" x14ac:dyDescent="0.2">
      <c r="A96" s="5" t="s">
        <v>42</v>
      </c>
    </row>
    <row r="97" spans="1:6" x14ac:dyDescent="0.2">
      <c r="A97" s="5" t="s">
        <v>43</v>
      </c>
    </row>
    <row r="98" spans="1:6" x14ac:dyDescent="0.2">
      <c r="A98" s="5" t="s">
        <v>184</v>
      </c>
    </row>
    <row r="99" spans="1:6" x14ac:dyDescent="0.2">
      <c r="A99" s="5" t="s">
        <v>185</v>
      </c>
    </row>
    <row r="100" spans="1:6" x14ac:dyDescent="0.2">
      <c r="A100" s="32" t="s">
        <v>186</v>
      </c>
      <c r="B100" s="16"/>
      <c r="C100" s="16"/>
      <c r="D100" s="33"/>
      <c r="E100" s="33"/>
      <c r="F100" s="33"/>
    </row>
    <row r="101" spans="1:6" x14ac:dyDescent="0.2">
      <c r="A101" s="2" t="s">
        <v>46</v>
      </c>
    </row>
  </sheetData>
  <hyperlinks>
    <hyperlink ref="G28" r:id="rId1" display="http://www.hydroshare.org/resource/4b517deaa07243aa8c46a58646dd4281" xr:uid="{5E3D2876-4239-FE44-96AF-4003DEAE8FA2}"/>
    <hyperlink ref="G58" r:id="rId2" display="http://www.hydroshare.org/resource/4b517deaa07243aa8c46a58646dd4281" xr:uid="{1FEF86E3-0E3E-B74A-A218-8B54A09656FB}"/>
    <hyperlink ref="G59" r:id="rId3" display="http://www.hydroshare.org/resource/4b517deaa07243aa8c46a58646dd4281" xr:uid="{D614AF10-8699-B84F-AD54-29C62D3F403B}"/>
    <hyperlink ref="G29" r:id="rId4" display="http://www.hydroshare.org/resource/4b517deaa07243aa8c46a58646dd4281" xr:uid="{51920BCF-424B-3A46-B6B3-65572B51FA19}"/>
  </hyperlinks>
  <pageMargins left="0.7" right="0.7" top="0.75" bottom="0.75" header="0.3" footer="0.3"/>
  <pageSetup paperSize="9" orientation="portrait" r:id="rId5"/>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0A1A2-2294-406D-AD8E-F6317EC7ED80}">
  <dimension ref="A1:BE281"/>
  <sheetViews>
    <sheetView zoomScale="185" zoomScaleNormal="106" workbookViewId="0">
      <pane xSplit="5" ySplit="9" topLeftCell="AA93" activePane="bottomRight" state="frozen"/>
      <selection pane="topRight" activeCell="F1" sqref="F1"/>
      <selection pane="bottomLeft" activeCell="A5" sqref="A5"/>
      <selection pane="bottomRight" activeCell="AB102" sqref="AB102"/>
    </sheetView>
  </sheetViews>
  <sheetFormatPr baseColWidth="10" defaultColWidth="8.83203125" defaultRowHeight="15" x14ac:dyDescent="0.2"/>
  <cols>
    <col min="1" max="2" width="8.83203125" style="2"/>
    <col min="3" max="3" width="19.83203125" style="2" bestFit="1" customWidth="1"/>
    <col min="4" max="4" width="8.1640625" style="6" bestFit="1" customWidth="1"/>
    <col min="5" max="5" width="8.83203125" style="6" bestFit="1" customWidth="1"/>
    <col min="6" max="6" width="8.83203125" style="6" customWidth="1"/>
    <col min="7" max="7" width="76.5" style="2" customWidth="1"/>
    <col min="8" max="8" width="12" style="2" bestFit="1" customWidth="1"/>
    <col min="9" max="9" width="6.6640625" style="2" customWidth="1"/>
    <col min="10" max="10" width="12.1640625" style="16" bestFit="1" customWidth="1"/>
    <col min="11" max="11" width="6.6640625" style="16" customWidth="1"/>
    <col min="12" max="15" width="8.83203125" style="16"/>
    <col min="16" max="16" width="12" style="15" customWidth="1"/>
    <col min="17" max="20" width="8.83203125" style="16"/>
    <col min="21" max="23" width="8.83203125" style="2"/>
    <col min="24" max="26" width="8.83203125" style="36"/>
    <col min="27" max="27" width="8.83203125" style="20"/>
    <col min="28" max="29" width="8.83203125" style="2"/>
    <col min="30" max="30" width="8.83203125" style="36"/>
    <col min="31" max="31" width="16" style="2" bestFit="1" customWidth="1"/>
    <col min="32" max="32" width="12.83203125" style="2" bestFit="1" customWidth="1"/>
    <col min="33" max="33" width="12.1640625" style="2" bestFit="1" customWidth="1"/>
    <col min="34" max="34" width="11.83203125" style="2" bestFit="1" customWidth="1"/>
    <col min="35" max="16384" width="8.83203125" style="2"/>
  </cols>
  <sheetData>
    <row r="1" spans="1:48" x14ac:dyDescent="0.2">
      <c r="J1" s="16" t="s">
        <v>334</v>
      </c>
      <c r="X1" s="36" t="s">
        <v>335</v>
      </c>
    </row>
    <row r="7" spans="1:48" x14ac:dyDescent="0.2">
      <c r="U7" s="2" t="s">
        <v>28</v>
      </c>
      <c r="V7" s="2" t="s">
        <v>9</v>
      </c>
      <c r="W7" s="2" t="s">
        <v>18</v>
      </c>
    </row>
    <row r="8" spans="1:48" x14ac:dyDescent="0.2">
      <c r="D8" s="6" t="s">
        <v>74</v>
      </c>
      <c r="J8" s="16" t="s">
        <v>52</v>
      </c>
      <c r="L8" s="41" t="s">
        <v>319</v>
      </c>
      <c r="P8" s="17" t="s">
        <v>320</v>
      </c>
      <c r="T8" s="16" t="s">
        <v>321</v>
      </c>
      <c r="U8" s="2">
        <v>2.74</v>
      </c>
      <c r="V8" s="2">
        <v>2.8420000000000001</v>
      </c>
      <c r="W8" s="2">
        <v>2.6379999999999999</v>
      </c>
    </row>
    <row r="9" spans="1:48" x14ac:dyDescent="0.2">
      <c r="A9" s="2" t="s">
        <v>25</v>
      </c>
      <c r="B9" s="2" t="s">
        <v>47</v>
      </c>
      <c r="C9" s="2" t="s">
        <v>63</v>
      </c>
      <c r="D9" s="6" t="s">
        <v>72</v>
      </c>
      <c r="E9" s="6" t="s">
        <v>73</v>
      </c>
      <c r="F9" s="6" t="s">
        <v>194</v>
      </c>
      <c r="G9" s="2" t="s">
        <v>48</v>
      </c>
      <c r="H9" s="2" t="s">
        <v>0</v>
      </c>
      <c r="I9" s="2" t="s">
        <v>50</v>
      </c>
      <c r="J9" s="16" t="s">
        <v>51</v>
      </c>
      <c r="K9" s="16" t="s">
        <v>53</v>
      </c>
      <c r="L9" s="16" t="s">
        <v>1</v>
      </c>
      <c r="M9" s="16" t="s">
        <v>2</v>
      </c>
      <c r="N9" s="16" t="s">
        <v>168</v>
      </c>
      <c r="O9" s="16" t="s">
        <v>139</v>
      </c>
      <c r="P9" s="15" t="s">
        <v>1</v>
      </c>
      <c r="Q9" s="16" t="s">
        <v>2</v>
      </c>
      <c r="R9" s="16" t="s">
        <v>169</v>
      </c>
      <c r="S9" s="16" t="s">
        <v>26</v>
      </c>
      <c r="T9" s="16" t="s">
        <v>27</v>
      </c>
      <c r="U9" s="2" t="s">
        <v>336</v>
      </c>
      <c r="V9" s="2" t="s">
        <v>324</v>
      </c>
      <c r="W9" s="2" t="s">
        <v>324</v>
      </c>
      <c r="X9" s="36" t="s">
        <v>4</v>
      </c>
      <c r="Y9" s="36" t="s">
        <v>5</v>
      </c>
      <c r="Z9" s="36" t="s">
        <v>6</v>
      </c>
      <c r="AA9" s="20" t="s">
        <v>328</v>
      </c>
      <c r="AB9" s="2" t="s">
        <v>329</v>
      </c>
      <c r="AC9" s="2" t="s">
        <v>7</v>
      </c>
      <c r="AD9" s="36" t="s">
        <v>8</v>
      </c>
      <c r="AL9" s="2" t="s">
        <v>160</v>
      </c>
    </row>
    <row r="10" spans="1:48" s="4" customFormat="1" ht="16" x14ac:dyDescent="0.2">
      <c r="A10" s="4" t="s">
        <v>9</v>
      </c>
      <c r="B10" s="4" t="s">
        <v>10</v>
      </c>
      <c r="C10" s="4" t="s">
        <v>64</v>
      </c>
      <c r="D10" s="8">
        <v>20.9</v>
      </c>
      <c r="E10" s="8">
        <v>109.86666666666666</v>
      </c>
      <c r="F10" s="8">
        <v>1</v>
      </c>
      <c r="G10" s="1" t="s">
        <v>54</v>
      </c>
      <c r="H10" s="4" t="s">
        <v>49</v>
      </c>
      <c r="I10" s="4">
        <v>1996</v>
      </c>
      <c r="J10" s="19">
        <v>2009</v>
      </c>
      <c r="K10" s="19">
        <v>2011</v>
      </c>
      <c r="L10" s="19">
        <v>2038.9833333333333</v>
      </c>
      <c r="M10" s="19">
        <v>1478.1596844061557</v>
      </c>
      <c r="N10" s="19">
        <f>L10/M10</f>
        <v>1.3794066736115091</v>
      </c>
      <c r="O10" s="19">
        <f>Y10/P10</f>
        <v>0.5181157764883263</v>
      </c>
      <c r="P10" s="18">
        <v>2188.7000000000003</v>
      </c>
      <c r="Q10" s="19">
        <v>1461.7014836713504</v>
      </c>
      <c r="R10" s="19">
        <f>P10/Q10</f>
        <v>1.4973645607190944</v>
      </c>
      <c r="S10" s="19">
        <f>IF(A10="Euc",AA10,NA())</f>
        <v>0.77580820206307533</v>
      </c>
      <c r="T10" s="19" t="e">
        <f t="shared" ref="T10:T66" si="0">IF(ISNA(S10),AA10,NA())</f>
        <v>#N/A</v>
      </c>
      <c r="U10" s="4">
        <f>1+$R10-(1+$R10^U$8)^(1/U$8)</f>
        <v>0.83537784773203239</v>
      </c>
      <c r="V10" s="4">
        <f t="shared" ref="V10:W25" si="1">1+$R10-(1+$R10^V$8)^(1/V$8)</f>
        <v>0.84744982511970623</v>
      </c>
      <c r="W10" s="4">
        <f t="shared" si="1"/>
        <v>0.82207234454509237</v>
      </c>
      <c r="X10" s="37">
        <v>1620</v>
      </c>
      <c r="Y10" s="37">
        <v>1134</v>
      </c>
      <c r="Z10" s="37">
        <v>533.5</v>
      </c>
      <c r="AA10" s="21">
        <f>Y10/Q10</f>
        <v>0.77580820206307533</v>
      </c>
      <c r="AB10" s="4">
        <f>V10</f>
        <v>0.84744982511970623</v>
      </c>
      <c r="AC10" s="4">
        <f>AA10-AB10</f>
        <v>-7.164162305663091E-2</v>
      </c>
      <c r="AD10" s="37">
        <v>3.5</v>
      </c>
    </row>
    <row r="11" spans="1:48" s="4" customFormat="1" ht="16" x14ac:dyDescent="0.2">
      <c r="A11" s="4" t="s">
        <v>9</v>
      </c>
      <c r="B11" s="4" t="s">
        <v>11</v>
      </c>
      <c r="C11" s="4" t="s">
        <v>64</v>
      </c>
      <c r="D11" s="8">
        <v>21.083333333333332</v>
      </c>
      <c r="E11" s="8">
        <v>109.9</v>
      </c>
      <c r="F11" s="8">
        <v>1</v>
      </c>
      <c r="G11" s="1" t="s">
        <v>54</v>
      </c>
      <c r="H11" s="4" t="s">
        <v>49</v>
      </c>
      <c r="I11" s="4">
        <v>1996</v>
      </c>
      <c r="J11" s="19">
        <v>2009</v>
      </c>
      <c r="K11" s="19">
        <v>2011</v>
      </c>
      <c r="L11" s="19">
        <v>1821.2666666666667</v>
      </c>
      <c r="M11" s="19">
        <v>1402.7070203036455</v>
      </c>
      <c r="N11" s="19">
        <f t="shared" ref="N11:N66" si="2">L11/M11</f>
        <v>1.2983942051365902</v>
      </c>
      <c r="O11" s="19">
        <f t="shared" ref="O11:O60" si="3">Y11/P11</f>
        <v>0.52626944009017729</v>
      </c>
      <c r="P11" s="18">
        <v>1892.5666666666668</v>
      </c>
      <c r="Q11" s="19">
        <v>1384.4173165855416</v>
      </c>
      <c r="R11" s="19">
        <f>P11/Q11</f>
        <v>1.3670492589145011</v>
      </c>
      <c r="S11" s="19">
        <f t="shared" ref="S11:S66" si="4">IF(A11="Euc",AA11,NA())</f>
        <v>0.71943624806462636</v>
      </c>
      <c r="T11" s="19" t="e">
        <f t="shared" si="0"/>
        <v>#N/A</v>
      </c>
      <c r="U11" s="4">
        <f t="shared" ref="U11:W66" si="5">1+$R11-(1+$R11^U$8)^(1/U$8)</f>
        <v>0.81153725517332731</v>
      </c>
      <c r="V11" s="4">
        <f t="shared" si="1"/>
        <v>0.82384263006105085</v>
      </c>
      <c r="W11" s="4">
        <f t="shared" si="1"/>
        <v>0.79804392776929967</v>
      </c>
      <c r="X11" s="37">
        <v>1920.2962962962961</v>
      </c>
      <c r="Y11" s="37">
        <v>996</v>
      </c>
      <c r="Z11" s="37">
        <v>522</v>
      </c>
      <c r="AA11" s="21">
        <f t="shared" ref="AA11:AA66" si="6">Y11/Q11</f>
        <v>0.71943624806462636</v>
      </c>
      <c r="AB11" s="4">
        <f t="shared" ref="AB11:AB36" si="7">V11</f>
        <v>0.82384263006105085</v>
      </c>
      <c r="AC11" s="4">
        <f t="shared" ref="AC11:AC64" si="8">AA11-AB11</f>
        <v>-0.10440638199642449</v>
      </c>
      <c r="AD11" s="37">
        <v>3.5</v>
      </c>
    </row>
    <row r="12" spans="1:48" s="4" customFormat="1" ht="16" x14ac:dyDescent="0.2">
      <c r="A12" s="4" t="s">
        <v>9</v>
      </c>
      <c r="B12" s="4" t="s">
        <v>12</v>
      </c>
      <c r="C12" s="4" t="s">
        <v>65</v>
      </c>
      <c r="D12" s="8">
        <v>22.686388888888889</v>
      </c>
      <c r="E12" s="8">
        <v>108.19583333333334</v>
      </c>
      <c r="F12" s="8">
        <v>1</v>
      </c>
      <c r="G12" s="1" t="s">
        <v>55</v>
      </c>
      <c r="H12" s="4" t="s">
        <v>49</v>
      </c>
      <c r="I12" s="4">
        <v>2010</v>
      </c>
      <c r="J12" s="19">
        <v>2014</v>
      </c>
      <c r="K12" s="19">
        <v>2015</v>
      </c>
      <c r="L12" s="19">
        <v>1447.0666666666668</v>
      </c>
      <c r="M12" s="19">
        <v>1347.4163487534563</v>
      </c>
      <c r="N12" s="19">
        <f t="shared" si="2"/>
        <v>1.0739565895911836</v>
      </c>
      <c r="O12" s="19">
        <f t="shared" si="3"/>
        <v>0.57460115722933869</v>
      </c>
      <c r="P12" s="18">
        <v>1494.9500000000003</v>
      </c>
      <c r="Q12" s="19">
        <v>1359.7533111284783</v>
      </c>
      <c r="R12" s="19">
        <f>P12/Q12</f>
        <v>1.0994273650705952</v>
      </c>
      <c r="S12" s="19">
        <f t="shared" si="4"/>
        <v>0.63173223625916664</v>
      </c>
      <c r="T12" s="19" t="e">
        <f t="shared" si="0"/>
        <v>#N/A</v>
      </c>
      <c r="U12" s="4">
        <f t="shared" si="5"/>
        <v>0.74492121427740154</v>
      </c>
      <c r="V12" s="4">
        <f t="shared" si="1"/>
        <v>0.7570110412278801</v>
      </c>
      <c r="W12" s="4">
        <f t="shared" si="1"/>
        <v>0.73176268624032659</v>
      </c>
      <c r="X12" s="37">
        <v>1294</v>
      </c>
      <c r="Y12" s="37">
        <v>859</v>
      </c>
      <c r="Z12" s="37">
        <v>332.5</v>
      </c>
      <c r="AA12" s="21">
        <f t="shared" si="6"/>
        <v>0.63173223625916664</v>
      </c>
      <c r="AB12" s="4">
        <f t="shared" si="7"/>
        <v>0.7570110412278801</v>
      </c>
      <c r="AC12" s="4">
        <f t="shared" si="8"/>
        <v>-0.12527880496871346</v>
      </c>
      <c r="AD12" s="37">
        <v>1</v>
      </c>
    </row>
    <row r="13" spans="1:48" s="4" customFormat="1" ht="16" x14ac:dyDescent="0.2">
      <c r="A13" s="4" t="s">
        <v>9</v>
      </c>
      <c r="B13" s="4" t="s">
        <v>56</v>
      </c>
      <c r="C13" s="4" t="s">
        <v>66</v>
      </c>
      <c r="D13" s="8">
        <v>-37.739166666666669</v>
      </c>
      <c r="E13" s="8">
        <v>140.79388888888889</v>
      </c>
      <c r="F13" s="8">
        <v>1</v>
      </c>
      <c r="G13" s="1" t="s">
        <v>58</v>
      </c>
      <c r="H13" s="4" t="s">
        <v>17</v>
      </c>
      <c r="I13" s="4">
        <v>1998</v>
      </c>
      <c r="J13" s="19">
        <v>2002</v>
      </c>
      <c r="K13" s="19">
        <v>2005</v>
      </c>
      <c r="L13" s="19">
        <v>731.12500000000011</v>
      </c>
      <c r="M13" s="19">
        <v>1526.5078125986097</v>
      </c>
      <c r="N13" s="19">
        <f t="shared" si="2"/>
        <v>0.47895267483458803</v>
      </c>
      <c r="O13" s="19">
        <f t="shared" si="3"/>
        <v>0.98388932969952037</v>
      </c>
      <c r="P13" s="18">
        <v>724.67500000000007</v>
      </c>
      <c r="Q13" s="19">
        <v>1540.0079809740841</v>
      </c>
      <c r="R13" s="19">
        <f t="shared" ref="R13:R66" si="9">P13/Q13</f>
        <v>0.47056574313441507</v>
      </c>
      <c r="S13" s="19">
        <f t="shared" si="4"/>
        <v>0.46298461359207632</v>
      </c>
      <c r="T13" s="19" t="e">
        <f t="shared" si="0"/>
        <v>#N/A</v>
      </c>
      <c r="U13" s="4">
        <f t="shared" si="5"/>
        <v>0.426046438829907</v>
      </c>
      <c r="V13" s="4">
        <f t="shared" si="1"/>
        <v>0.43074150618806661</v>
      </c>
      <c r="W13" s="4">
        <f t="shared" si="1"/>
        <v>0.42072964224016296</v>
      </c>
      <c r="X13" s="37">
        <v>701</v>
      </c>
      <c r="Y13" s="37">
        <v>713</v>
      </c>
      <c r="Z13" s="37">
        <v>402</v>
      </c>
      <c r="AA13" s="21">
        <f t="shared" si="6"/>
        <v>0.46298461359207632</v>
      </c>
      <c r="AB13" s="4">
        <f t="shared" si="7"/>
        <v>0.43074150618806661</v>
      </c>
      <c r="AC13" s="4">
        <f t="shared" si="8"/>
        <v>3.2243107404009708E-2</v>
      </c>
      <c r="AD13" s="37">
        <v>10</v>
      </c>
      <c r="AV13" s="4">
        <f>0.0124*1500</f>
        <v>18.599999999999998</v>
      </c>
    </row>
    <row r="14" spans="1:48" s="4" customFormat="1" ht="16" x14ac:dyDescent="0.2">
      <c r="A14" s="4" t="s">
        <v>9</v>
      </c>
      <c r="B14" s="4" t="s">
        <v>57</v>
      </c>
      <c r="C14" s="4" t="s">
        <v>66</v>
      </c>
      <c r="D14" s="8">
        <v>-37.739166666666669</v>
      </c>
      <c r="E14" s="8">
        <v>140.79388888888889</v>
      </c>
      <c r="F14" s="8">
        <v>1</v>
      </c>
      <c r="G14" s="1" t="s">
        <v>58</v>
      </c>
      <c r="H14" s="4" t="s">
        <v>17</v>
      </c>
      <c r="I14" s="4">
        <v>1995</v>
      </c>
      <c r="J14" s="19">
        <v>1999</v>
      </c>
      <c r="K14" s="19">
        <v>2001</v>
      </c>
      <c r="L14" s="19">
        <v>725.12857142857149</v>
      </c>
      <c r="M14" s="19">
        <v>1491.2307072839988</v>
      </c>
      <c r="N14" s="19">
        <f t="shared" si="2"/>
        <v>0.48626182916341576</v>
      </c>
      <c r="O14" s="19">
        <f t="shared" si="3"/>
        <v>0.63098008792345484</v>
      </c>
      <c r="P14" s="18">
        <v>773.40000000000009</v>
      </c>
      <c r="Q14" s="19">
        <v>1520.145879355674</v>
      </c>
      <c r="R14" s="19">
        <f t="shared" si="9"/>
        <v>0.50876696144965505</v>
      </c>
      <c r="S14" s="19">
        <f t="shared" si="4"/>
        <v>0.32102182206805224</v>
      </c>
      <c r="T14" s="19" t="e">
        <f t="shared" si="0"/>
        <v>#N/A</v>
      </c>
      <c r="U14" s="4">
        <f t="shared" si="5"/>
        <v>0.4541069259058621</v>
      </c>
      <c r="V14" s="4">
        <f t="shared" si="1"/>
        <v>0.45947667508426071</v>
      </c>
      <c r="W14" s="4">
        <f t="shared" si="1"/>
        <v>0.44806713629034234</v>
      </c>
      <c r="X14" s="37">
        <v>489</v>
      </c>
      <c r="Y14" s="37">
        <v>488</v>
      </c>
      <c r="Z14" s="37">
        <v>190</v>
      </c>
      <c r="AA14" s="21">
        <f t="shared" si="6"/>
        <v>0.32102182206805224</v>
      </c>
      <c r="AB14" s="4">
        <f t="shared" si="7"/>
        <v>0.45947667508426071</v>
      </c>
      <c r="AC14" s="4">
        <f t="shared" si="8"/>
        <v>-0.13845485301620847</v>
      </c>
      <c r="AD14" s="37">
        <v>5</v>
      </c>
    </row>
    <row r="15" spans="1:48" s="4" customFormat="1" ht="16" x14ac:dyDescent="0.2">
      <c r="A15" s="4" t="s">
        <v>9</v>
      </c>
      <c r="B15" s="4" t="s">
        <v>103</v>
      </c>
      <c r="C15" s="4" t="s">
        <v>66</v>
      </c>
      <c r="D15" s="8">
        <v>-37.739166666666669</v>
      </c>
      <c r="E15" s="8">
        <v>140.79388888888889</v>
      </c>
      <c r="F15" s="8">
        <v>1</v>
      </c>
      <c r="G15" s="1" t="s">
        <v>58</v>
      </c>
      <c r="H15" s="4" t="s">
        <v>17</v>
      </c>
      <c r="I15" s="4">
        <v>1998</v>
      </c>
      <c r="J15" s="19">
        <v>2002</v>
      </c>
      <c r="K15" s="19">
        <v>2004</v>
      </c>
      <c r="L15" s="19">
        <v>744.45714285714291</v>
      </c>
      <c r="M15" s="19">
        <v>1522.6813994410197</v>
      </c>
      <c r="N15" s="19">
        <f t="shared" si="2"/>
        <v>0.48891195697959866</v>
      </c>
      <c r="O15" s="19">
        <f t="shared" si="3"/>
        <v>0.80145074970144636</v>
      </c>
      <c r="P15" s="18">
        <v>753.63333333333333</v>
      </c>
      <c r="Q15" s="19">
        <v>1535.5797397315318</v>
      </c>
      <c r="R15" s="19">
        <f t="shared" si="9"/>
        <v>0.49078098247447077</v>
      </c>
      <c r="S15" s="19">
        <f t="shared" si="4"/>
        <v>0.39333678634337699</v>
      </c>
      <c r="T15" s="19" t="e">
        <f t="shared" si="0"/>
        <v>#N/A</v>
      </c>
      <c r="U15" s="4">
        <f t="shared" si="5"/>
        <v>0.44104565508435378</v>
      </c>
      <c r="V15" s="4">
        <f t="shared" si="1"/>
        <v>0.4460972809114141</v>
      </c>
      <c r="W15" s="4">
        <f t="shared" si="1"/>
        <v>0.43534613482696516</v>
      </c>
      <c r="X15" s="37">
        <v>658</v>
      </c>
      <c r="Y15" s="37">
        <v>604</v>
      </c>
      <c r="Z15" s="37">
        <v>274</v>
      </c>
      <c r="AA15" s="21">
        <f t="shared" si="6"/>
        <v>0.39333678634337699</v>
      </c>
      <c r="AB15" s="4">
        <f t="shared" si="7"/>
        <v>0.4460972809114141</v>
      </c>
      <c r="AC15" s="4">
        <f t="shared" si="8"/>
        <v>-5.2760494568037108E-2</v>
      </c>
      <c r="AD15" s="37">
        <v>8</v>
      </c>
    </row>
    <row r="16" spans="1:48" s="4" customFormat="1" ht="16" x14ac:dyDescent="0.2">
      <c r="A16" s="4" t="s">
        <v>9</v>
      </c>
      <c r="B16" s="4" t="s">
        <v>75</v>
      </c>
      <c r="C16" s="4" t="s">
        <v>76</v>
      </c>
      <c r="D16" s="8">
        <v>-25.283333333333335</v>
      </c>
      <c r="E16" s="8">
        <v>30.566666666666666</v>
      </c>
      <c r="F16" s="8">
        <v>3</v>
      </c>
      <c r="G16" s="1" t="s">
        <v>79</v>
      </c>
      <c r="H16" s="4" t="s">
        <v>13</v>
      </c>
      <c r="I16" s="4">
        <v>1969</v>
      </c>
      <c r="J16" s="19">
        <v>1973</v>
      </c>
      <c r="K16" s="19">
        <v>1983</v>
      </c>
      <c r="L16" s="19">
        <v>945.92000000000007</v>
      </c>
      <c r="M16" s="19">
        <v>1797.2759531561817</v>
      </c>
      <c r="N16" s="19">
        <f t="shared" si="2"/>
        <v>0.52630760364810847</v>
      </c>
      <c r="O16" s="19">
        <f t="shared" si="3"/>
        <v>1.3074260275944314</v>
      </c>
      <c r="P16" s="18">
        <v>884.23636363636365</v>
      </c>
      <c r="Q16" s="19">
        <v>1780.7564597884868</v>
      </c>
      <c r="R16" s="19">
        <f t="shared" si="9"/>
        <v>0.49655097909423879</v>
      </c>
      <c r="S16" s="19">
        <f t="shared" si="4"/>
        <v>0.64920367409530622</v>
      </c>
      <c r="T16" s="19" t="e">
        <f t="shared" si="0"/>
        <v>#N/A</v>
      </c>
      <c r="U16" s="4">
        <f t="shared" si="5"/>
        <v>0.44526499501887162</v>
      </c>
      <c r="V16" s="4">
        <f t="shared" si="1"/>
        <v>0.45041864310878976</v>
      </c>
      <c r="W16" s="4">
        <f t="shared" si="1"/>
        <v>0.43945623184297622</v>
      </c>
      <c r="X16" s="37">
        <v>1163.3954545454544</v>
      </c>
      <c r="Y16" s="37">
        <v>1156.0736363636361</v>
      </c>
      <c r="Z16" s="37"/>
      <c r="AA16" s="21">
        <f t="shared" si="6"/>
        <v>0.64920367409530622</v>
      </c>
      <c r="AB16" s="4">
        <f t="shared" si="7"/>
        <v>0.45041864310878976</v>
      </c>
      <c r="AC16" s="4">
        <f t="shared" si="8"/>
        <v>0.19878503098651645</v>
      </c>
      <c r="AD16" s="37">
        <v>30</v>
      </c>
    </row>
    <row r="17" spans="1:30" s="4" customFormat="1" ht="16" x14ac:dyDescent="0.2">
      <c r="A17" s="4" t="s">
        <v>9</v>
      </c>
      <c r="B17" s="4" t="s">
        <v>77</v>
      </c>
      <c r="C17" s="4" t="s">
        <v>78</v>
      </c>
      <c r="D17" s="8">
        <v>-23.783333333333335</v>
      </c>
      <c r="E17" s="8">
        <v>30.2</v>
      </c>
      <c r="F17" s="8">
        <v>3</v>
      </c>
      <c r="G17" s="1" t="s">
        <v>85</v>
      </c>
      <c r="H17" s="4" t="s">
        <v>13</v>
      </c>
      <c r="I17" s="4">
        <v>1983</v>
      </c>
      <c r="J17" s="19">
        <v>1987</v>
      </c>
      <c r="K17" s="19">
        <v>1996</v>
      </c>
      <c r="L17" s="19">
        <v>733.66428571428571</v>
      </c>
      <c r="M17" s="19">
        <v>1913.0707576537263</v>
      </c>
      <c r="N17" s="19">
        <f t="shared" si="2"/>
        <v>0.38350086256824273</v>
      </c>
      <c r="O17" s="19">
        <f t="shared" si="3"/>
        <v>0.74693346124854376</v>
      </c>
      <c r="P17" s="18">
        <v>729.65000000000009</v>
      </c>
      <c r="Q17" s="19">
        <v>1903.2614866273077</v>
      </c>
      <c r="R17" s="19">
        <f t="shared" si="9"/>
        <v>0.38336823664360653</v>
      </c>
      <c r="S17" s="19">
        <f t="shared" si="4"/>
        <v>0.28635056392895986</v>
      </c>
      <c r="T17" s="19" t="e">
        <f t="shared" si="0"/>
        <v>#N/A</v>
      </c>
      <c r="U17" s="4">
        <f t="shared" si="5"/>
        <v>0.35756608807517898</v>
      </c>
      <c r="V17" s="4">
        <f t="shared" si="1"/>
        <v>0.36077325658648185</v>
      </c>
      <c r="W17" s="4">
        <f t="shared" si="1"/>
        <v>0.35386489187202419</v>
      </c>
      <c r="X17" s="37">
        <v>755.60000000000014</v>
      </c>
      <c r="Y17" s="37">
        <v>545</v>
      </c>
      <c r="Z17" s="37"/>
      <c r="AA17" s="21">
        <f t="shared" si="6"/>
        <v>0.28635056392895986</v>
      </c>
      <c r="AB17" s="4">
        <f t="shared" si="7"/>
        <v>0.36077325658648185</v>
      </c>
      <c r="AC17" s="4">
        <f t="shared" si="8"/>
        <v>-7.4422692657521994E-2</v>
      </c>
      <c r="AD17" s="37">
        <v>10</v>
      </c>
    </row>
    <row r="18" spans="1:30" s="4" customFormat="1" ht="16" x14ac:dyDescent="0.2">
      <c r="A18" s="4" t="s">
        <v>9</v>
      </c>
      <c r="B18" s="4" t="s">
        <v>67</v>
      </c>
      <c r="C18" s="4" t="s">
        <v>71</v>
      </c>
      <c r="D18" s="8">
        <v>-42.604783333333337</v>
      </c>
      <c r="E18" s="8">
        <v>146.46718611111112</v>
      </c>
      <c r="F18" s="8">
        <v>1</v>
      </c>
      <c r="G18" s="1" t="s">
        <v>86</v>
      </c>
      <c r="H18" s="4" t="s">
        <v>14</v>
      </c>
      <c r="I18" s="4">
        <v>1999</v>
      </c>
      <c r="J18" s="19">
        <v>2008</v>
      </c>
      <c r="K18" s="19">
        <v>2010</v>
      </c>
      <c r="L18" s="19">
        <v>1317.50833333333</v>
      </c>
      <c r="M18" s="19">
        <v>1005.1071476279604</v>
      </c>
      <c r="N18" s="19">
        <f t="shared" si="2"/>
        <v>1.3108138136741265</v>
      </c>
      <c r="O18" s="19">
        <f t="shared" si="3"/>
        <v>0.73623014083095273</v>
      </c>
      <c r="P18" s="18">
        <v>1330.2</v>
      </c>
      <c r="Q18" s="19">
        <v>1012.405617399092</v>
      </c>
      <c r="R18" s="19">
        <f t="shared" si="9"/>
        <v>1.3139002561219817</v>
      </c>
      <c r="S18" s="19">
        <f t="shared" si="4"/>
        <v>0.96733297060251155</v>
      </c>
      <c r="T18" s="19" t="e">
        <f t="shared" si="0"/>
        <v>#N/A</v>
      </c>
      <c r="U18" s="4">
        <f t="shared" si="5"/>
        <v>0.8003988266228681</v>
      </c>
      <c r="V18" s="4">
        <f t="shared" si="1"/>
        <v>0.81274948767166655</v>
      </c>
      <c r="W18" s="4">
        <f t="shared" si="1"/>
        <v>0.78688147820168464</v>
      </c>
      <c r="X18" s="37">
        <v>1222.3333333333333</v>
      </c>
      <c r="Y18" s="37">
        <v>979.33333333333337</v>
      </c>
      <c r="Z18" s="37">
        <v>497</v>
      </c>
      <c r="AA18" s="21">
        <f t="shared" si="6"/>
        <v>0.96733297060251155</v>
      </c>
      <c r="AB18" s="4">
        <f t="shared" si="7"/>
        <v>0.81274948767166655</v>
      </c>
      <c r="AC18" s="4">
        <f t="shared" si="8"/>
        <v>0.15458348293084501</v>
      </c>
      <c r="AD18" s="37">
        <v>20</v>
      </c>
    </row>
    <row r="19" spans="1:30" s="4" customFormat="1" ht="16" x14ac:dyDescent="0.2">
      <c r="A19" s="4" t="s">
        <v>9</v>
      </c>
      <c r="B19" s="4" t="s">
        <v>68</v>
      </c>
      <c r="C19" s="4" t="s">
        <v>71</v>
      </c>
      <c r="D19" s="8">
        <v>-42.605363888888888</v>
      </c>
      <c r="E19" s="8">
        <v>146.46769444444445</v>
      </c>
      <c r="F19" s="8">
        <v>1</v>
      </c>
      <c r="G19" s="1" t="s">
        <v>86</v>
      </c>
      <c r="H19" s="4" t="s">
        <v>14</v>
      </c>
      <c r="I19" s="4">
        <v>1999</v>
      </c>
      <c r="J19" s="19">
        <v>2008</v>
      </c>
      <c r="K19" s="19">
        <v>2010</v>
      </c>
      <c r="L19" s="19">
        <v>1321.6333333333334</v>
      </c>
      <c r="M19" s="19">
        <v>1032.0780282808521</v>
      </c>
      <c r="N19" s="19">
        <f t="shared" si="2"/>
        <v>1.2805556335065071</v>
      </c>
      <c r="O19" s="19">
        <f t="shared" si="3"/>
        <v>0.45712196013896506</v>
      </c>
      <c r="P19" s="18">
        <v>1640.7</v>
      </c>
      <c r="Q19" s="19">
        <v>1011.8067132535452</v>
      </c>
      <c r="R19" s="19">
        <f t="shared" si="9"/>
        <v>1.6215547678312967</v>
      </c>
      <c r="S19" s="19">
        <f t="shared" si="4"/>
        <v>0.74124829394372682</v>
      </c>
      <c r="T19" s="19" t="e">
        <f t="shared" si="0"/>
        <v>#N/A</v>
      </c>
      <c r="U19" s="4">
        <f t="shared" si="5"/>
        <v>0.8542601427313623</v>
      </c>
      <c r="V19" s="4">
        <f t="shared" si="1"/>
        <v>0.86599669440925497</v>
      </c>
      <c r="W19" s="4">
        <f t="shared" si="1"/>
        <v>0.84125594606313525</v>
      </c>
      <c r="X19" s="37">
        <v>1222.3333333333333</v>
      </c>
      <c r="Y19" s="37">
        <v>750</v>
      </c>
      <c r="Z19" s="37">
        <v>316</v>
      </c>
      <c r="AA19" s="21">
        <f t="shared" si="6"/>
        <v>0.74124829394372682</v>
      </c>
      <c r="AB19" s="4">
        <f t="shared" si="7"/>
        <v>0.86599669440925497</v>
      </c>
      <c r="AC19" s="4">
        <f t="shared" si="8"/>
        <v>-0.12474840046552815</v>
      </c>
      <c r="AD19" s="37">
        <v>5</v>
      </c>
    </row>
    <row r="20" spans="1:30" s="4" customFormat="1" ht="16" x14ac:dyDescent="0.2">
      <c r="A20" s="4" t="s">
        <v>9</v>
      </c>
      <c r="B20" s="4" t="s">
        <v>69</v>
      </c>
      <c r="C20" s="4" t="s">
        <v>71</v>
      </c>
      <c r="D20" s="8">
        <v>-42.600994444444446</v>
      </c>
      <c r="E20" s="8">
        <v>146.45778333333331</v>
      </c>
      <c r="F20" s="8">
        <v>1</v>
      </c>
      <c r="G20" s="1" t="s">
        <v>86</v>
      </c>
      <c r="H20" s="4" t="s">
        <v>14</v>
      </c>
      <c r="I20" s="4">
        <v>2001</v>
      </c>
      <c r="J20" s="19">
        <v>2009</v>
      </c>
      <c r="K20" s="19">
        <v>2009</v>
      </c>
      <c r="L20" s="19">
        <v>1308.9875000000002</v>
      </c>
      <c r="M20" s="19">
        <v>998.5461295845073</v>
      </c>
      <c r="N20" s="19">
        <f t="shared" si="2"/>
        <v>1.3108933690871816</v>
      </c>
      <c r="O20" s="19">
        <f t="shared" si="3"/>
        <v>0.56413950715421302</v>
      </c>
      <c r="P20" s="18">
        <v>1341.8666666666668</v>
      </c>
      <c r="Q20" s="19">
        <v>1003.9921496402361</v>
      </c>
      <c r="R20" s="19">
        <f t="shared" si="9"/>
        <v>1.3365310347770174</v>
      </c>
      <c r="S20" s="19">
        <f t="shared" si="4"/>
        <v>0.7539899592554169</v>
      </c>
      <c r="T20" s="19" t="e">
        <f t="shared" si="0"/>
        <v>#N/A</v>
      </c>
      <c r="U20" s="4">
        <f t="shared" si="5"/>
        <v>0.80525146349144028</v>
      </c>
      <c r="V20" s="4">
        <f t="shared" si="1"/>
        <v>0.81758702878056688</v>
      </c>
      <c r="W20" s="4">
        <f t="shared" si="1"/>
        <v>0.79173997949191754</v>
      </c>
      <c r="X20" s="37">
        <v>1259</v>
      </c>
      <c r="Y20" s="37">
        <v>757</v>
      </c>
      <c r="Z20" s="37">
        <v>377</v>
      </c>
      <c r="AA20" s="21">
        <f t="shared" si="6"/>
        <v>0.7539899592554169</v>
      </c>
      <c r="AB20" s="4">
        <f t="shared" si="7"/>
        <v>0.81758702878056688</v>
      </c>
      <c r="AC20" s="4">
        <f t="shared" si="8"/>
        <v>-6.3597069525149985E-2</v>
      </c>
      <c r="AD20" s="37">
        <v>5</v>
      </c>
    </row>
    <row r="21" spans="1:30" s="4" customFormat="1" ht="16" x14ac:dyDescent="0.2">
      <c r="A21" s="4" t="s">
        <v>9</v>
      </c>
      <c r="B21" s="4" t="s">
        <v>70</v>
      </c>
      <c r="C21" s="4" t="s">
        <v>71</v>
      </c>
      <c r="D21" s="8">
        <v>-42.600994444444446</v>
      </c>
      <c r="E21" s="8">
        <v>146.4579</v>
      </c>
      <c r="F21" s="8">
        <v>1</v>
      </c>
      <c r="G21" s="1" t="s">
        <v>86</v>
      </c>
      <c r="H21" s="4" t="s">
        <v>14</v>
      </c>
      <c r="I21" s="4">
        <v>2004</v>
      </c>
      <c r="J21" s="19">
        <v>2009</v>
      </c>
      <c r="K21" s="19">
        <v>2011</v>
      </c>
      <c r="L21" s="19">
        <v>1321.6333333333334</v>
      </c>
      <c r="M21" s="19">
        <v>1032.0780282808521</v>
      </c>
      <c r="N21" s="19">
        <f t="shared" si="2"/>
        <v>1.2805556335065071</v>
      </c>
      <c r="O21" s="19">
        <f t="shared" si="3"/>
        <v>0.6566854836510404</v>
      </c>
      <c r="P21" s="18">
        <v>1222.3</v>
      </c>
      <c r="Q21" s="19">
        <v>1004</v>
      </c>
      <c r="R21" s="19">
        <f t="shared" si="9"/>
        <v>1.2174302788844622</v>
      </c>
      <c r="S21" s="19">
        <f t="shared" si="4"/>
        <v>0.79946879150066397</v>
      </c>
      <c r="T21" s="19" t="e">
        <f t="shared" si="0"/>
        <v>#N/A</v>
      </c>
      <c r="U21" s="4">
        <f t="shared" si="5"/>
        <v>0.77771635883282575</v>
      </c>
      <c r="V21" s="4">
        <f t="shared" si="1"/>
        <v>0.79005016136577821</v>
      </c>
      <c r="W21" s="4">
        <f t="shared" si="1"/>
        <v>0.76425786846444543</v>
      </c>
      <c r="X21" s="37">
        <v>1222.3333333333333</v>
      </c>
      <c r="Y21" s="37">
        <v>802.66666666666663</v>
      </c>
      <c r="Z21" s="37">
        <v>440.33333333333331</v>
      </c>
      <c r="AA21" s="21">
        <f t="shared" si="6"/>
        <v>0.79946879150066397</v>
      </c>
      <c r="AB21" s="4">
        <f t="shared" si="7"/>
        <v>0.79005016136577821</v>
      </c>
      <c r="AC21" s="4">
        <f t="shared" si="8"/>
        <v>9.4186301348857526E-3</v>
      </c>
      <c r="AD21" s="37">
        <v>7</v>
      </c>
    </row>
    <row r="22" spans="1:30" s="4" customFormat="1" ht="16" x14ac:dyDescent="0.2">
      <c r="A22" s="4" t="s">
        <v>9</v>
      </c>
      <c r="B22" s="4" t="s">
        <v>80</v>
      </c>
      <c r="C22" s="4" t="s">
        <v>15</v>
      </c>
      <c r="D22" s="8">
        <v>-16.565333333333335</v>
      </c>
      <c r="E22" s="8">
        <v>-42.893222222222221</v>
      </c>
      <c r="F22" s="8">
        <v>2</v>
      </c>
      <c r="G22" s="1" t="s">
        <v>87</v>
      </c>
      <c r="H22" s="4" t="s">
        <v>59</v>
      </c>
      <c r="I22" s="4">
        <v>1974</v>
      </c>
      <c r="J22" s="19">
        <v>1982</v>
      </c>
      <c r="K22" s="19">
        <v>1984</v>
      </c>
      <c r="L22" s="19">
        <v>1062.6909090909094</v>
      </c>
      <c r="M22" s="19">
        <v>2008.4029340588638</v>
      </c>
      <c r="N22" s="19">
        <f t="shared" si="2"/>
        <v>0.52912236437698967</v>
      </c>
      <c r="O22" s="19">
        <f t="shared" si="3"/>
        <v>0.94975443898753309</v>
      </c>
      <c r="P22" s="18">
        <v>970.56666666666661</v>
      </c>
      <c r="Q22" s="19">
        <v>2012.2176143046272</v>
      </c>
      <c r="R22" s="19">
        <f t="shared" si="9"/>
        <v>0.4823368306524195</v>
      </c>
      <c r="S22" s="19">
        <f t="shared" si="4"/>
        <v>0.45810154599931346</v>
      </c>
      <c r="T22" s="19" t="e">
        <f t="shared" si="0"/>
        <v>#N/A</v>
      </c>
      <c r="U22" s="4">
        <f t="shared" si="5"/>
        <v>0.43482122785147026</v>
      </c>
      <c r="V22" s="4">
        <f t="shared" si="1"/>
        <v>0.43972370407598893</v>
      </c>
      <c r="W22" s="4">
        <f t="shared" si="1"/>
        <v>0.42928162258574032</v>
      </c>
      <c r="X22" s="37">
        <v>1121</v>
      </c>
      <c r="Y22" s="37">
        <v>921.8</v>
      </c>
      <c r="Z22" s="37"/>
      <c r="AA22" s="21">
        <f t="shared" si="6"/>
        <v>0.45810154599931346</v>
      </c>
      <c r="AB22" s="4">
        <f t="shared" si="7"/>
        <v>0.43972370407598893</v>
      </c>
      <c r="AC22" s="4">
        <f t="shared" si="8"/>
        <v>1.8377841923324534E-2</v>
      </c>
      <c r="AD22" s="37">
        <v>5</v>
      </c>
    </row>
    <row r="23" spans="1:30" s="4" customFormat="1" ht="16" x14ac:dyDescent="0.2">
      <c r="A23" s="4" t="s">
        <v>9</v>
      </c>
      <c r="B23" s="4" t="s">
        <v>89</v>
      </c>
      <c r="C23" s="4" t="s">
        <v>15</v>
      </c>
      <c r="D23" s="8">
        <v>-19.850000000000001</v>
      </c>
      <c r="E23" s="8">
        <v>-40.68333333333333</v>
      </c>
      <c r="F23" s="8">
        <v>2</v>
      </c>
      <c r="G23" s="1" t="s">
        <v>88</v>
      </c>
      <c r="H23" s="4" t="s">
        <v>59</v>
      </c>
      <c r="I23" s="4">
        <v>1986</v>
      </c>
      <c r="J23" s="19">
        <v>1995</v>
      </c>
      <c r="K23" s="19">
        <v>1996</v>
      </c>
      <c r="L23" s="19">
        <v>1158.1727272727273</v>
      </c>
      <c r="M23" s="19">
        <v>1840.1125707062515</v>
      </c>
      <c r="N23" s="19">
        <f t="shared" si="2"/>
        <v>0.62940319288629742</v>
      </c>
      <c r="O23" s="19">
        <f t="shared" si="3"/>
        <v>0.99199763985691636</v>
      </c>
      <c r="P23" s="18">
        <v>1355.85</v>
      </c>
      <c r="Q23" s="19">
        <v>1826.4852557729664</v>
      </c>
      <c r="R23" s="19">
        <f t="shared" si="9"/>
        <v>0.74232737204670496</v>
      </c>
      <c r="S23" s="19">
        <f t="shared" si="4"/>
        <v>0.73638700107151844</v>
      </c>
      <c r="T23" s="19" t="e">
        <f t="shared" si="0"/>
        <v>#N/A</v>
      </c>
      <c r="U23" s="4">
        <f t="shared" si="5"/>
        <v>0.59940281987820843</v>
      </c>
      <c r="V23" s="4">
        <f t="shared" si="1"/>
        <v>0.60855299212035407</v>
      </c>
      <c r="W23" s="4">
        <f t="shared" si="1"/>
        <v>0.58937659225726446</v>
      </c>
      <c r="X23" s="37">
        <v>1396</v>
      </c>
      <c r="Y23" s="37">
        <v>1345</v>
      </c>
      <c r="Z23" s="37"/>
      <c r="AA23" s="21">
        <f t="shared" si="6"/>
        <v>0.73638700107151844</v>
      </c>
      <c r="AB23" s="4">
        <f t="shared" si="7"/>
        <v>0.60855299212035407</v>
      </c>
      <c r="AC23" s="4">
        <f t="shared" si="8"/>
        <v>0.12783400895116437</v>
      </c>
      <c r="AD23" s="37"/>
    </row>
    <row r="24" spans="1:30" s="4" customFormat="1" ht="16" x14ac:dyDescent="0.2">
      <c r="A24" s="4" t="s">
        <v>9</v>
      </c>
      <c r="B24" s="4" t="s">
        <v>92</v>
      </c>
      <c r="C24" s="4" t="s">
        <v>15</v>
      </c>
      <c r="D24" s="8">
        <v>-30.1769</v>
      </c>
      <c r="E24" s="8">
        <v>-51.613</v>
      </c>
      <c r="F24" s="8">
        <v>3</v>
      </c>
      <c r="G24" s="1" t="s">
        <v>90</v>
      </c>
      <c r="H24" s="4" t="s">
        <v>91</v>
      </c>
      <c r="I24" s="4">
        <v>2002</v>
      </c>
      <c r="J24" s="19">
        <v>2002</v>
      </c>
      <c r="K24" s="19">
        <v>2014</v>
      </c>
      <c r="L24" s="19">
        <v>1476.6076923076923</v>
      </c>
      <c r="M24" s="19">
        <v>1623.5116732076062</v>
      </c>
      <c r="N24" s="19">
        <f t="shared" si="2"/>
        <v>0.90951467530278207</v>
      </c>
      <c r="O24" s="19">
        <f t="shared" si="3"/>
        <v>0.87877098755463401</v>
      </c>
      <c r="P24" s="18">
        <v>1476.6076923076923</v>
      </c>
      <c r="Q24" s="19">
        <v>1623.5116732076062</v>
      </c>
      <c r="R24" s="19">
        <f t="shared" si="9"/>
        <v>0.90951467530278207</v>
      </c>
      <c r="S24" s="19">
        <f t="shared" si="4"/>
        <v>0.79925510941125799</v>
      </c>
      <c r="T24" s="19" t="e">
        <f t="shared" si="0"/>
        <v>#N/A</v>
      </c>
      <c r="U24" s="4">
        <f t="shared" si="5"/>
        <v>0.67753342174560705</v>
      </c>
      <c r="V24" s="4">
        <f t="shared" si="1"/>
        <v>0.68852947761072336</v>
      </c>
      <c r="W24" s="4">
        <f t="shared" si="1"/>
        <v>0.66556533973731868</v>
      </c>
      <c r="X24" s="37">
        <v>1626.5333333333333</v>
      </c>
      <c r="Y24" s="37">
        <v>1297.5999999999999</v>
      </c>
      <c r="Z24" s="37"/>
      <c r="AA24" s="21">
        <f t="shared" si="6"/>
        <v>0.79925510941125799</v>
      </c>
      <c r="AB24" s="4">
        <f t="shared" si="7"/>
        <v>0.68852947761072336</v>
      </c>
      <c r="AC24" s="4">
        <f t="shared" si="8"/>
        <v>0.11072563180053463</v>
      </c>
      <c r="AD24" s="37"/>
    </row>
    <row r="25" spans="1:30" s="4" customFormat="1" ht="16" x14ac:dyDescent="0.2">
      <c r="A25" s="4" t="s">
        <v>9</v>
      </c>
      <c r="B25" s="4" t="s">
        <v>92</v>
      </c>
      <c r="C25" s="4" t="s">
        <v>15</v>
      </c>
      <c r="D25" s="8">
        <v>-30.510100000000001</v>
      </c>
      <c r="E25" s="8">
        <v>-51.613</v>
      </c>
      <c r="F25" s="8">
        <v>3</v>
      </c>
      <c r="G25" s="1" t="s">
        <v>90</v>
      </c>
      <c r="H25" s="4" t="s">
        <v>91</v>
      </c>
      <c r="I25" s="4">
        <v>2002</v>
      </c>
      <c r="J25" s="19">
        <v>2002</v>
      </c>
      <c r="K25" s="19">
        <v>2014</v>
      </c>
      <c r="L25" s="19">
        <v>1433.2769230769229</v>
      </c>
      <c r="M25" s="19">
        <v>1602.1325415368642</v>
      </c>
      <c r="N25" s="19">
        <f t="shared" si="2"/>
        <v>0.8946057120230736</v>
      </c>
      <c r="O25" s="19">
        <f t="shared" si="3"/>
        <v>0.8162115248082854</v>
      </c>
      <c r="P25" s="18">
        <v>1433.2769230769229</v>
      </c>
      <c r="Q25" s="19">
        <v>1602.1325415368642</v>
      </c>
      <c r="R25" s="19">
        <f t="shared" si="9"/>
        <v>0.8946057120230736</v>
      </c>
      <c r="S25" s="19">
        <f t="shared" si="4"/>
        <v>0.73018749231255475</v>
      </c>
      <c r="T25" s="19" t="e">
        <f t="shared" si="0"/>
        <v>#N/A</v>
      </c>
      <c r="U25" s="4">
        <f t="shared" si="5"/>
        <v>0.67134595157413179</v>
      </c>
      <c r="V25" s="4">
        <f t="shared" si="1"/>
        <v>0.68221256111659723</v>
      </c>
      <c r="W25" s="4">
        <f t="shared" si="1"/>
        <v>0.65951524351201174</v>
      </c>
      <c r="X25" s="37">
        <v>1433.1428571428571</v>
      </c>
      <c r="Y25" s="37">
        <v>1169.8571428571429</v>
      </c>
      <c r="Z25" s="37"/>
      <c r="AA25" s="21">
        <f t="shared" si="6"/>
        <v>0.73018749231255475</v>
      </c>
      <c r="AB25" s="4">
        <f t="shared" si="7"/>
        <v>0.68221256111659723</v>
      </c>
      <c r="AC25" s="4">
        <f t="shared" si="8"/>
        <v>4.7974931195957526E-2</v>
      </c>
      <c r="AD25" s="37"/>
    </row>
    <row r="26" spans="1:30" s="4" customFormat="1" ht="16" x14ac:dyDescent="0.2">
      <c r="A26" s="4" t="s">
        <v>9</v>
      </c>
      <c r="B26" s="4" t="s">
        <v>82</v>
      </c>
      <c r="C26" s="4" t="s">
        <v>71</v>
      </c>
      <c r="D26" s="8">
        <v>-42.81666666666667</v>
      </c>
      <c r="E26" s="8">
        <v>147.6</v>
      </c>
      <c r="F26" s="8">
        <v>2</v>
      </c>
      <c r="G26" s="1" t="s">
        <v>94</v>
      </c>
      <c r="H26" s="4" t="s">
        <v>17</v>
      </c>
      <c r="I26" s="4">
        <v>1990</v>
      </c>
      <c r="J26" s="19">
        <v>1992</v>
      </c>
      <c r="K26" s="19">
        <v>1996</v>
      </c>
      <c r="L26" s="19">
        <v>846.7285714285714</v>
      </c>
      <c r="M26" s="19">
        <v>1193.8507736570334</v>
      </c>
      <c r="N26" s="19">
        <f t="shared" si="2"/>
        <v>0.70924154853529253</v>
      </c>
      <c r="O26" s="19">
        <f t="shared" si="3"/>
        <v>1.1350737797956865</v>
      </c>
      <c r="P26" s="18">
        <v>863.38000000000011</v>
      </c>
      <c r="Q26" s="19">
        <v>1182.3842195571499</v>
      </c>
      <c r="R26" s="19">
        <f t="shared" si="9"/>
        <v>0.73020257351148543</v>
      </c>
      <c r="S26" s="19">
        <f t="shared" si="4"/>
        <v>0.82883379513221944</v>
      </c>
      <c r="T26" s="19" t="e">
        <f t="shared" si="0"/>
        <v>#N/A</v>
      </c>
      <c r="U26" s="4">
        <f t="shared" si="5"/>
        <v>0.59294360181518102</v>
      </c>
      <c r="V26" s="4">
        <f t="shared" si="5"/>
        <v>0.6019269255888724</v>
      </c>
      <c r="W26" s="4">
        <f t="shared" si="5"/>
        <v>0.58309214675472099</v>
      </c>
      <c r="X26" s="37">
        <v>974.5454545454545</v>
      </c>
      <c r="Y26" s="37">
        <v>980</v>
      </c>
      <c r="Z26" s="37"/>
      <c r="AA26" s="21">
        <f t="shared" si="6"/>
        <v>0.82883379513221944</v>
      </c>
      <c r="AB26" s="4">
        <f t="shared" si="7"/>
        <v>0.6019269255888724</v>
      </c>
      <c r="AC26" s="4">
        <f t="shared" si="8"/>
        <v>0.22690686954334705</v>
      </c>
      <c r="AD26" s="37"/>
    </row>
    <row r="27" spans="1:30" s="4" customFormat="1" ht="16" x14ac:dyDescent="0.2">
      <c r="A27" s="4" t="s">
        <v>9</v>
      </c>
      <c r="B27" s="4" t="s">
        <v>83</v>
      </c>
      <c r="C27" s="4" t="s">
        <v>71</v>
      </c>
      <c r="D27" s="8">
        <v>-42.81666666666667</v>
      </c>
      <c r="E27" s="8">
        <v>147.6</v>
      </c>
      <c r="F27" s="8">
        <v>2</v>
      </c>
      <c r="G27" s="1" t="s">
        <v>94</v>
      </c>
      <c r="H27" s="4" t="s">
        <v>14</v>
      </c>
      <c r="I27" s="4">
        <v>1990</v>
      </c>
      <c r="J27" s="19">
        <v>1992</v>
      </c>
      <c r="K27" s="19">
        <v>1996</v>
      </c>
      <c r="L27" s="19">
        <v>846.7285714285714</v>
      </c>
      <c r="M27" s="19">
        <v>1193.8507736570334</v>
      </c>
      <c r="N27" s="19">
        <f t="shared" si="2"/>
        <v>0.70924154853529253</v>
      </c>
      <c r="O27" s="19">
        <f t="shared" si="3"/>
        <v>1.1350737797956865</v>
      </c>
      <c r="P27" s="18">
        <v>863.38000000000011</v>
      </c>
      <c r="Q27" s="19">
        <v>1182.3842195571499</v>
      </c>
      <c r="R27" s="19">
        <f t="shared" si="9"/>
        <v>0.73020257351148543</v>
      </c>
      <c r="S27" s="19">
        <f t="shared" si="4"/>
        <v>0.82883379513221944</v>
      </c>
      <c r="T27" s="19" t="e">
        <f t="shared" si="0"/>
        <v>#N/A</v>
      </c>
      <c r="U27" s="4">
        <f t="shared" si="5"/>
        <v>0.59294360181518102</v>
      </c>
      <c r="V27" s="4">
        <f t="shared" si="5"/>
        <v>0.6019269255888724</v>
      </c>
      <c r="W27" s="4">
        <f t="shared" si="5"/>
        <v>0.58309214675472099</v>
      </c>
      <c r="X27" s="37">
        <v>960</v>
      </c>
      <c r="Y27" s="37">
        <v>980</v>
      </c>
      <c r="Z27" s="37"/>
      <c r="AA27" s="21">
        <f t="shared" si="6"/>
        <v>0.82883379513221944</v>
      </c>
      <c r="AB27" s="4">
        <f t="shared" si="7"/>
        <v>0.6019269255888724</v>
      </c>
      <c r="AC27" s="4">
        <f t="shared" si="8"/>
        <v>0.22690686954334705</v>
      </c>
      <c r="AD27" s="37"/>
    </row>
    <row r="28" spans="1:30" s="4" customFormat="1" ht="16" x14ac:dyDescent="0.2">
      <c r="A28" s="4" t="s">
        <v>9</v>
      </c>
      <c r="B28" s="4" t="s">
        <v>93</v>
      </c>
      <c r="C28" s="4" t="s">
        <v>15</v>
      </c>
      <c r="D28" s="8">
        <v>-30.504999999999999</v>
      </c>
      <c r="E28" s="8">
        <v>-54.151944</v>
      </c>
      <c r="F28" s="8">
        <v>3</v>
      </c>
      <c r="G28" s="1" t="s">
        <v>95</v>
      </c>
      <c r="H28" s="4" t="s">
        <v>16</v>
      </c>
      <c r="I28" s="4">
        <v>2005</v>
      </c>
      <c r="J28" s="19">
        <v>2012</v>
      </c>
      <c r="K28" s="19">
        <v>2013</v>
      </c>
      <c r="L28" s="19">
        <v>1373</v>
      </c>
      <c r="M28" s="19">
        <v>1608</v>
      </c>
      <c r="N28" s="19">
        <f t="shared" si="2"/>
        <v>0.85385572139303478</v>
      </c>
      <c r="O28" s="19">
        <f t="shared" si="3"/>
        <v>0.6912650602409639</v>
      </c>
      <c r="P28" s="18">
        <v>1328</v>
      </c>
      <c r="Q28" s="19">
        <v>1612</v>
      </c>
      <c r="R28" s="19">
        <f t="shared" si="9"/>
        <v>0.82382133995037221</v>
      </c>
      <c r="S28" s="19">
        <f t="shared" si="4"/>
        <v>0.5694789081885856</v>
      </c>
      <c r="T28" s="19" t="e">
        <f t="shared" si="0"/>
        <v>#N/A</v>
      </c>
      <c r="U28" s="4">
        <f t="shared" si="5"/>
        <v>0.6399519168274046</v>
      </c>
      <c r="V28" s="4">
        <f t="shared" si="5"/>
        <v>0.6501099109216224</v>
      </c>
      <c r="W28" s="4">
        <f t="shared" si="5"/>
        <v>0.62886872398775595</v>
      </c>
      <c r="X28" s="37">
        <v>2088</v>
      </c>
      <c r="Y28" s="37">
        <v>918</v>
      </c>
      <c r="Z28" s="37"/>
      <c r="AA28" s="21">
        <f t="shared" si="6"/>
        <v>0.5694789081885856</v>
      </c>
      <c r="AB28" s="4">
        <f t="shared" si="7"/>
        <v>0.6501099109216224</v>
      </c>
      <c r="AC28" s="4">
        <f t="shared" si="8"/>
        <v>-8.0631002733036805E-2</v>
      </c>
      <c r="AD28" s="37"/>
    </row>
    <row r="29" spans="1:30" s="4" customFormat="1" ht="16" x14ac:dyDescent="0.2">
      <c r="A29" s="4" t="s">
        <v>9</v>
      </c>
      <c r="B29" s="4" t="s">
        <v>97</v>
      </c>
      <c r="C29" s="4" t="s">
        <v>84</v>
      </c>
      <c r="D29" s="7">
        <v>39.25</v>
      </c>
      <c r="E29" s="7">
        <v>-9.25</v>
      </c>
      <c r="F29" s="7">
        <v>3</v>
      </c>
      <c r="G29" s="1" t="s">
        <v>96</v>
      </c>
      <c r="H29" s="4" t="s">
        <v>17</v>
      </c>
      <c r="I29" s="4">
        <v>1982</v>
      </c>
      <c r="J29" s="19">
        <v>1984</v>
      </c>
      <c r="K29" s="19">
        <v>1993</v>
      </c>
      <c r="L29" s="19">
        <v>756.6</v>
      </c>
      <c r="M29" s="19">
        <v>1101</v>
      </c>
      <c r="N29" s="19">
        <f t="shared" si="2"/>
        <v>0.68719346049046326</v>
      </c>
      <c r="O29" s="19">
        <f t="shared" si="3"/>
        <v>0.97219910824473799</v>
      </c>
      <c r="P29" s="18">
        <v>777.61848739495781</v>
      </c>
      <c r="Q29" s="19">
        <v>1100.5999999999999</v>
      </c>
      <c r="R29" s="19">
        <f t="shared" si="9"/>
        <v>0.70654051189801736</v>
      </c>
      <c r="S29" s="19">
        <f t="shared" si="4"/>
        <v>0.68689805560603312</v>
      </c>
      <c r="T29" s="19" t="e">
        <f t="shared" si="0"/>
        <v>#N/A</v>
      </c>
      <c r="U29" s="4">
        <f t="shared" si="5"/>
        <v>0.58000908697342912</v>
      </c>
      <c r="V29" s="4">
        <f t="shared" si="5"/>
        <v>0.58865494119760631</v>
      </c>
      <c r="W29" s="4">
        <f t="shared" si="5"/>
        <v>0.57051116468744167</v>
      </c>
      <c r="X29" s="37">
        <v>788</v>
      </c>
      <c r="Y29" s="37">
        <v>756</v>
      </c>
      <c r="Z29" s="37"/>
      <c r="AA29" s="21">
        <f t="shared" si="6"/>
        <v>0.68689805560603312</v>
      </c>
      <c r="AB29" s="4">
        <f t="shared" si="7"/>
        <v>0.58865494119760631</v>
      </c>
      <c r="AC29" s="4">
        <f t="shared" si="8"/>
        <v>9.8243114408426813E-2</v>
      </c>
      <c r="AD29" s="37"/>
    </row>
    <row r="30" spans="1:30" s="4" customFormat="1" ht="16" x14ac:dyDescent="0.2">
      <c r="A30" s="4" t="s">
        <v>9</v>
      </c>
      <c r="B30" s="4" t="s">
        <v>97</v>
      </c>
      <c r="C30" s="4" t="s">
        <v>84</v>
      </c>
      <c r="D30" s="7">
        <v>39.25</v>
      </c>
      <c r="E30" s="7">
        <v>-9.25</v>
      </c>
      <c r="F30" s="7">
        <v>3</v>
      </c>
      <c r="G30" s="1" t="s">
        <v>96</v>
      </c>
      <c r="H30" s="4" t="s">
        <v>17</v>
      </c>
      <c r="I30" s="4">
        <v>1982</v>
      </c>
      <c r="J30" s="19">
        <v>1984</v>
      </c>
      <c r="K30" s="19">
        <v>1993</v>
      </c>
      <c r="L30" s="19">
        <v>756.6</v>
      </c>
      <c r="M30" s="19">
        <v>1101</v>
      </c>
      <c r="N30" s="19">
        <f t="shared" si="2"/>
        <v>0.68719346049046326</v>
      </c>
      <c r="O30" s="19">
        <f t="shared" si="3"/>
        <v>0.98377290715241339</v>
      </c>
      <c r="P30" s="18">
        <v>777.61848739495781</v>
      </c>
      <c r="Q30" s="19">
        <v>1100.5999999999999</v>
      </c>
      <c r="R30" s="19">
        <f t="shared" si="9"/>
        <v>0.70654051189801736</v>
      </c>
      <c r="S30" s="19">
        <f t="shared" si="4"/>
        <v>0.69507541341086687</v>
      </c>
      <c r="T30" s="19" t="e">
        <f t="shared" si="0"/>
        <v>#N/A</v>
      </c>
      <c r="U30" s="4">
        <f t="shared" si="5"/>
        <v>0.58000908697342912</v>
      </c>
      <c r="V30" s="4">
        <f t="shared" si="5"/>
        <v>0.58865494119760631</v>
      </c>
      <c r="W30" s="4">
        <f t="shared" si="5"/>
        <v>0.57051116468744167</v>
      </c>
      <c r="X30" s="37">
        <v>788</v>
      </c>
      <c r="Y30" s="37">
        <v>765</v>
      </c>
      <c r="Z30" s="37"/>
      <c r="AA30" s="21">
        <f t="shared" si="6"/>
        <v>0.69507541341086687</v>
      </c>
      <c r="AB30" s="4">
        <f t="shared" si="7"/>
        <v>0.58865494119760631</v>
      </c>
      <c r="AC30" s="4">
        <f t="shared" si="8"/>
        <v>0.10642047221326056</v>
      </c>
      <c r="AD30" s="37"/>
    </row>
    <row r="31" spans="1:30" s="4" customFormat="1" ht="16" x14ac:dyDescent="0.2">
      <c r="A31" s="4" t="s">
        <v>9</v>
      </c>
      <c r="B31" s="4" t="s">
        <v>98</v>
      </c>
      <c r="C31" s="4" t="s">
        <v>81</v>
      </c>
      <c r="D31" s="12">
        <v>11.25</v>
      </c>
      <c r="E31" s="12">
        <v>76.75</v>
      </c>
      <c r="F31" s="12">
        <v>3</v>
      </c>
      <c r="G31" s="1" t="s">
        <v>99</v>
      </c>
      <c r="H31" s="4" t="s">
        <v>17</v>
      </c>
      <c r="I31" s="4">
        <v>1972</v>
      </c>
      <c r="J31" s="19">
        <v>1972</v>
      </c>
      <c r="K31" s="19">
        <v>1981</v>
      </c>
      <c r="L31" s="18">
        <v>1664</v>
      </c>
      <c r="M31" s="19">
        <v>1845</v>
      </c>
      <c r="N31" s="19">
        <f t="shared" si="2"/>
        <v>0.9018970189701897</v>
      </c>
      <c r="O31" s="19">
        <f t="shared" si="3"/>
        <v>0.66466346153846156</v>
      </c>
      <c r="P31" s="18">
        <v>1664</v>
      </c>
      <c r="Q31" s="19">
        <v>1845</v>
      </c>
      <c r="R31" s="19">
        <f t="shared" si="9"/>
        <v>0.9018970189701897</v>
      </c>
      <c r="S31" s="19">
        <f t="shared" si="4"/>
        <v>0.59945799457994575</v>
      </c>
      <c r="T31" s="19" t="e">
        <f t="shared" si="0"/>
        <v>#N/A</v>
      </c>
      <c r="U31" s="4">
        <f t="shared" si="5"/>
        <v>0.67438983423147469</v>
      </c>
      <c r="V31" s="4">
        <f t="shared" si="5"/>
        <v>0.68532060095574532</v>
      </c>
      <c r="W31" s="4">
        <f t="shared" si="5"/>
        <v>0.66249108301282944</v>
      </c>
      <c r="X31" s="37">
        <v>1568</v>
      </c>
      <c r="Y31" s="37">
        <v>1106</v>
      </c>
      <c r="Z31" s="37"/>
      <c r="AA31" s="21">
        <f t="shared" si="6"/>
        <v>0.59945799457994575</v>
      </c>
      <c r="AB31" s="4">
        <f t="shared" si="7"/>
        <v>0.68532060095574532</v>
      </c>
      <c r="AC31" s="4">
        <f t="shared" si="8"/>
        <v>-8.5862606375799566E-2</v>
      </c>
      <c r="AD31" s="37">
        <v>1</v>
      </c>
    </row>
    <row r="32" spans="1:30" s="23" customFormat="1" ht="16" x14ac:dyDescent="0.2">
      <c r="A32" s="23" t="s">
        <v>9</v>
      </c>
      <c r="B32" s="23" t="s">
        <v>147</v>
      </c>
      <c r="C32" s="23" t="s">
        <v>150</v>
      </c>
      <c r="D32" s="24">
        <v>-37.254170000000002</v>
      </c>
      <c r="E32" s="24">
        <v>-73.187624</v>
      </c>
      <c r="F32" s="24">
        <v>1</v>
      </c>
      <c r="G32" s="25" t="s">
        <v>161</v>
      </c>
      <c r="H32" s="23" t="s">
        <v>17</v>
      </c>
      <c r="I32" s="23">
        <v>1996</v>
      </c>
      <c r="J32" s="19">
        <v>2019</v>
      </c>
      <c r="K32" s="19">
        <v>2019</v>
      </c>
      <c r="L32" s="18">
        <v>1395</v>
      </c>
      <c r="M32" s="19">
        <v>1515</v>
      </c>
      <c r="N32" s="19">
        <f t="shared" si="2"/>
        <v>0.92079207920792083</v>
      </c>
      <c r="O32" s="19">
        <f>Y32/X32</f>
        <v>0.44530783024506876</v>
      </c>
      <c r="P32" s="18">
        <v>1673</v>
      </c>
      <c r="Q32" s="23">
        <v>1467</v>
      </c>
      <c r="R32" s="23">
        <f t="shared" si="9"/>
        <v>1.1404226312201773</v>
      </c>
      <c r="S32" s="23">
        <f t="shared" si="4"/>
        <v>0.50783912747102933</v>
      </c>
      <c r="T32" s="23" t="e">
        <f t="shared" si="0"/>
        <v>#N/A</v>
      </c>
      <c r="U32" s="23">
        <f t="shared" si="5"/>
        <v>0.75700813763889085</v>
      </c>
      <c r="V32" s="23">
        <f t="shared" si="5"/>
        <v>0.76921486427673447</v>
      </c>
      <c r="W32" s="23">
        <f t="shared" si="5"/>
        <v>0.7437128023174413</v>
      </c>
      <c r="X32" s="38">
        <v>1673</v>
      </c>
      <c r="Y32" s="37">
        <v>745</v>
      </c>
      <c r="Z32" s="37">
        <v>450</v>
      </c>
      <c r="AA32" s="21">
        <f t="shared" si="6"/>
        <v>0.50783912747102933</v>
      </c>
      <c r="AB32" s="23">
        <f t="shared" si="7"/>
        <v>0.76921486427673447</v>
      </c>
      <c r="AC32" s="23">
        <f t="shared" si="8"/>
        <v>-0.26137573680570514</v>
      </c>
      <c r="AD32" s="37">
        <v>1</v>
      </c>
    </row>
    <row r="33" spans="1:36" s="23" customFormat="1" ht="16" x14ac:dyDescent="0.2">
      <c r="A33" s="23" t="s">
        <v>9</v>
      </c>
      <c r="B33" s="23" t="s">
        <v>158</v>
      </c>
      <c r="C33" s="23" t="s">
        <v>149</v>
      </c>
      <c r="D33" s="24">
        <v>-37.5</v>
      </c>
      <c r="E33" s="24">
        <v>-73.25</v>
      </c>
      <c r="F33" s="24">
        <v>3</v>
      </c>
      <c r="G33" s="26" t="s">
        <v>157</v>
      </c>
      <c r="H33" s="23" t="s">
        <v>14</v>
      </c>
      <c r="I33" s="23">
        <v>2011</v>
      </c>
      <c r="J33" s="19">
        <v>2016</v>
      </c>
      <c r="K33" s="19">
        <v>2019</v>
      </c>
      <c r="L33" s="19">
        <v>1190</v>
      </c>
      <c r="M33" s="19">
        <v>1350</v>
      </c>
      <c r="N33" s="19">
        <f t="shared" si="2"/>
        <v>0.88148148148148153</v>
      </c>
      <c r="O33" s="19">
        <f>Y33/X33</f>
        <v>0.56910569105691056</v>
      </c>
      <c r="P33" s="18">
        <v>1845</v>
      </c>
      <c r="Q33" s="23">
        <v>1150</v>
      </c>
      <c r="R33" s="23">
        <f t="shared" si="9"/>
        <v>1.6043478260869566</v>
      </c>
      <c r="S33" s="23">
        <f t="shared" si="4"/>
        <v>0.91304347826086951</v>
      </c>
      <c r="T33" s="23" t="e">
        <f t="shared" si="0"/>
        <v>#N/A</v>
      </c>
      <c r="U33" s="23">
        <f t="shared" si="5"/>
        <v>0.85183800659127895</v>
      </c>
      <c r="V33" s="23">
        <f t="shared" si="5"/>
        <v>0.86362578618254182</v>
      </c>
      <c r="W33" s="23">
        <f t="shared" si="5"/>
        <v>0.83878675983975093</v>
      </c>
      <c r="X33" s="38">
        <v>1845</v>
      </c>
      <c r="Y33" s="37">
        <v>1050</v>
      </c>
      <c r="Z33" s="37"/>
      <c r="AA33" s="21">
        <f t="shared" si="6"/>
        <v>0.91304347826086951</v>
      </c>
      <c r="AB33" s="23">
        <f t="shared" si="7"/>
        <v>0.86362578618254182</v>
      </c>
      <c r="AC33" s="23">
        <f t="shared" si="8"/>
        <v>4.9417692078327691E-2</v>
      </c>
      <c r="AD33" s="37">
        <v>3</v>
      </c>
    </row>
    <row r="34" spans="1:36" s="23" customFormat="1" ht="16" x14ac:dyDescent="0.2">
      <c r="A34" s="23" t="s">
        <v>9</v>
      </c>
      <c r="B34" s="23" t="s">
        <v>159</v>
      </c>
      <c r="C34" s="23" t="s">
        <v>149</v>
      </c>
      <c r="D34" s="24">
        <v>-37.5</v>
      </c>
      <c r="E34" s="24">
        <v>-73.25</v>
      </c>
      <c r="F34" s="24">
        <v>3</v>
      </c>
      <c r="G34" s="26" t="s">
        <v>157</v>
      </c>
      <c r="H34" s="23" t="s">
        <v>14</v>
      </c>
      <c r="I34" s="23">
        <v>2011</v>
      </c>
      <c r="J34" s="19">
        <v>2016</v>
      </c>
      <c r="K34" s="19">
        <v>2019</v>
      </c>
      <c r="L34" s="19">
        <v>1190</v>
      </c>
      <c r="M34" s="19">
        <v>1350</v>
      </c>
      <c r="N34" s="19">
        <f t="shared" si="2"/>
        <v>0.88148148148148153</v>
      </c>
      <c r="O34" s="19">
        <f>Y34/X34</f>
        <v>0.50948509485094851</v>
      </c>
      <c r="P34" s="18">
        <v>1845</v>
      </c>
      <c r="Q34" s="23">
        <v>1150</v>
      </c>
      <c r="R34" s="23">
        <f t="shared" si="9"/>
        <v>1.6043478260869566</v>
      </c>
      <c r="S34" s="23">
        <f t="shared" si="4"/>
        <v>0.81739130434782614</v>
      </c>
      <c r="T34" s="23" t="e">
        <f t="shared" si="0"/>
        <v>#N/A</v>
      </c>
      <c r="U34" s="23">
        <f t="shared" si="5"/>
        <v>0.85183800659127895</v>
      </c>
      <c r="V34" s="23">
        <f t="shared" si="5"/>
        <v>0.86362578618254182</v>
      </c>
      <c r="W34" s="23">
        <f t="shared" si="5"/>
        <v>0.83878675983975093</v>
      </c>
      <c r="X34" s="38">
        <v>1845</v>
      </c>
      <c r="Y34" s="37">
        <v>940</v>
      </c>
      <c r="Z34" s="37"/>
      <c r="AA34" s="21">
        <f t="shared" si="6"/>
        <v>0.81739130434782614</v>
      </c>
      <c r="AB34" s="23">
        <f t="shared" si="7"/>
        <v>0.86362578618254182</v>
      </c>
      <c r="AC34" s="23">
        <f t="shared" si="8"/>
        <v>-4.6234481834715679E-2</v>
      </c>
      <c r="AD34" s="37">
        <v>3</v>
      </c>
    </row>
    <row r="35" spans="1:36" s="21" customFormat="1" ht="16" x14ac:dyDescent="0.2">
      <c r="A35" s="21" t="s">
        <v>9</v>
      </c>
      <c r="B35" s="21" t="s">
        <v>166</v>
      </c>
      <c r="C35" s="21" t="s">
        <v>322</v>
      </c>
      <c r="D35" s="22">
        <v>-37.25</v>
      </c>
      <c r="E35" s="22">
        <v>-72.75</v>
      </c>
      <c r="F35" s="24">
        <v>3</v>
      </c>
      <c r="G35" s="31" t="s">
        <v>164</v>
      </c>
      <c r="H35" s="21" t="s">
        <v>17</v>
      </c>
      <c r="I35" s="21">
        <v>2006</v>
      </c>
      <c r="J35" s="19">
        <v>2008</v>
      </c>
      <c r="K35" s="19">
        <v>2017</v>
      </c>
      <c r="L35" s="19">
        <v>959</v>
      </c>
      <c r="M35" s="19">
        <v>1587</v>
      </c>
      <c r="N35" s="19">
        <f t="shared" si="2"/>
        <v>0.60428481411468182</v>
      </c>
      <c r="O35" s="19">
        <f>Y35/X35</f>
        <v>0.74512860483242405</v>
      </c>
      <c r="P35" s="18">
        <f>X35</f>
        <v>1283</v>
      </c>
      <c r="Q35" s="21">
        <v>1600</v>
      </c>
      <c r="R35" s="21">
        <f t="shared" si="9"/>
        <v>0.801875</v>
      </c>
      <c r="S35" s="21">
        <f t="shared" si="4"/>
        <v>0.59750000000000003</v>
      </c>
      <c r="T35" s="21" t="e">
        <f t="shared" si="0"/>
        <v>#N/A</v>
      </c>
      <c r="U35" s="21">
        <f t="shared" si="5"/>
        <v>0.62951161484863771</v>
      </c>
      <c r="V35" s="21">
        <f t="shared" si="5"/>
        <v>0.63941816914663785</v>
      </c>
      <c r="W35" s="21">
        <f t="shared" si="5"/>
        <v>0.61869251219552401</v>
      </c>
      <c r="X35" s="38">
        <v>1283</v>
      </c>
      <c r="Y35" s="37">
        <v>956</v>
      </c>
      <c r="Z35" s="37"/>
      <c r="AA35" s="21">
        <f t="shared" si="6"/>
        <v>0.59750000000000003</v>
      </c>
      <c r="AB35" s="21">
        <f t="shared" si="7"/>
        <v>0.63941816914663785</v>
      </c>
      <c r="AC35" s="21">
        <f t="shared" si="8"/>
        <v>-4.1918169146637818E-2</v>
      </c>
      <c r="AD35" s="37">
        <v>4</v>
      </c>
    </row>
    <row r="36" spans="1:36" s="21" customFormat="1" ht="16" x14ac:dyDescent="0.2">
      <c r="A36" s="21" t="s">
        <v>9</v>
      </c>
      <c r="B36" s="21" t="s">
        <v>167</v>
      </c>
      <c r="C36" s="21" t="s">
        <v>322</v>
      </c>
      <c r="D36" s="22">
        <v>-37.25</v>
      </c>
      <c r="E36" s="22">
        <v>-72.75</v>
      </c>
      <c r="F36" s="24">
        <v>3</v>
      </c>
      <c r="G36" s="31" t="s">
        <v>164</v>
      </c>
      <c r="H36" s="21" t="s">
        <v>17</v>
      </c>
      <c r="I36" s="21">
        <v>2000</v>
      </c>
      <c r="J36" s="19">
        <v>2008</v>
      </c>
      <c r="K36" s="19">
        <v>2017</v>
      </c>
      <c r="L36" s="19">
        <v>959</v>
      </c>
      <c r="M36" s="19">
        <v>1587</v>
      </c>
      <c r="N36" s="19">
        <f t="shared" si="2"/>
        <v>0.60428481411468182</v>
      </c>
      <c r="O36" s="19">
        <f>Y36/X36</f>
        <v>0.86031746031746037</v>
      </c>
      <c r="P36" s="18">
        <v>1260</v>
      </c>
      <c r="Q36" s="21">
        <v>1600</v>
      </c>
      <c r="R36" s="21">
        <f t="shared" si="9"/>
        <v>0.78749999999999998</v>
      </c>
      <c r="S36" s="21">
        <f t="shared" si="4"/>
        <v>0.67749999999999999</v>
      </c>
      <c r="T36" s="21" t="e">
        <f t="shared" si="0"/>
        <v>#N/A</v>
      </c>
      <c r="U36" s="21">
        <f t="shared" si="5"/>
        <v>0.62248445629164761</v>
      </c>
      <c r="V36" s="21">
        <f t="shared" si="5"/>
        <v>0.6322182405578598</v>
      </c>
      <c r="W36" s="21">
        <f t="shared" si="5"/>
        <v>0.61184661461604173</v>
      </c>
      <c r="X36" s="38">
        <v>1260</v>
      </c>
      <c r="Y36" s="37">
        <v>1084</v>
      </c>
      <c r="Z36" s="37"/>
      <c r="AA36" s="21">
        <f t="shared" si="6"/>
        <v>0.67749999999999999</v>
      </c>
      <c r="AB36" s="21">
        <f t="shared" si="7"/>
        <v>0.6322182405578598</v>
      </c>
      <c r="AC36" s="21">
        <f t="shared" si="8"/>
        <v>4.528175944214019E-2</v>
      </c>
      <c r="AD36" s="37">
        <v>4</v>
      </c>
    </row>
    <row r="37" spans="1:36" ht="16" x14ac:dyDescent="0.2">
      <c r="A37" s="2" t="s">
        <v>18</v>
      </c>
      <c r="B37" s="4" t="s">
        <v>104</v>
      </c>
      <c r="C37" s="4" t="s">
        <v>66</v>
      </c>
      <c r="D37" s="8">
        <v>-37.739166666666669</v>
      </c>
      <c r="E37" s="8">
        <v>140.79388888888889</v>
      </c>
      <c r="F37" s="8">
        <v>1</v>
      </c>
      <c r="G37" s="1" t="s">
        <v>58</v>
      </c>
      <c r="H37"/>
      <c r="I37" s="10">
        <v>1982</v>
      </c>
      <c r="J37" s="42">
        <v>1996</v>
      </c>
      <c r="K37" s="42">
        <v>2000</v>
      </c>
      <c r="L37" s="16">
        <v>705.74736842105267</v>
      </c>
      <c r="M37" s="16">
        <v>1496.7407003560481</v>
      </c>
      <c r="N37" s="19">
        <f t="shared" si="2"/>
        <v>0.47152280168045663</v>
      </c>
      <c r="O37" s="19">
        <f t="shared" si="3"/>
        <v>0.90391697355205891</v>
      </c>
      <c r="P37" s="15">
        <v>716.88</v>
      </c>
      <c r="Q37" s="16">
        <v>1492.3419737581505</v>
      </c>
      <c r="R37" s="19">
        <f t="shared" si="9"/>
        <v>0.48037246998735011</v>
      </c>
      <c r="S37" s="19" t="e">
        <f t="shared" si="4"/>
        <v>#N/A</v>
      </c>
      <c r="T37" s="19">
        <f t="shared" si="0"/>
        <v>0.43421682924869276</v>
      </c>
      <c r="U37" s="4">
        <f t="shared" si="5"/>
        <v>0.43336481018178397</v>
      </c>
      <c r="V37" s="4">
        <f t="shared" si="5"/>
        <v>0.43823262674734864</v>
      </c>
      <c r="W37" s="4">
        <f t="shared" si="5"/>
        <v>0.42786240270778975</v>
      </c>
      <c r="X37" s="36">
        <v>678</v>
      </c>
      <c r="Y37" s="36">
        <v>648</v>
      </c>
      <c r="Z37" s="36">
        <v>395</v>
      </c>
      <c r="AA37" s="21">
        <f t="shared" si="6"/>
        <v>0.43421682924869276</v>
      </c>
      <c r="AB37" s="4">
        <f>W37</f>
        <v>0.42786240270778975</v>
      </c>
      <c r="AC37" s="4">
        <f t="shared" si="8"/>
        <v>6.3544265409030132E-3</v>
      </c>
      <c r="AD37" s="36">
        <v>8.9</v>
      </c>
      <c r="AE37" s="4"/>
      <c r="AF37" s="4"/>
      <c r="AI37" s="4"/>
      <c r="AJ37" s="4"/>
    </row>
    <row r="38" spans="1:36" ht="16" x14ac:dyDescent="0.2">
      <c r="A38" s="2" t="s">
        <v>18</v>
      </c>
      <c r="B38" s="4" t="s">
        <v>105</v>
      </c>
      <c r="C38" s="4" t="s">
        <v>66</v>
      </c>
      <c r="D38" s="8">
        <v>-37.739166666666669</v>
      </c>
      <c r="E38" s="8">
        <v>140.79388888888889</v>
      </c>
      <c r="F38" s="8">
        <v>1</v>
      </c>
      <c r="G38" s="1" t="s">
        <v>58</v>
      </c>
      <c r="H38" s="4" t="s">
        <v>60</v>
      </c>
      <c r="I38" s="10">
        <v>1980</v>
      </c>
      <c r="J38" s="42">
        <v>2000</v>
      </c>
      <c r="K38" s="42">
        <v>2004</v>
      </c>
      <c r="L38" s="16">
        <v>720.12</v>
      </c>
      <c r="M38" s="16">
        <v>1505.3344591639707</v>
      </c>
      <c r="N38" s="19">
        <f t="shared" si="2"/>
        <v>0.47837873876875087</v>
      </c>
      <c r="O38" s="19">
        <f t="shared" si="3"/>
        <v>1.008601659435183</v>
      </c>
      <c r="P38" s="15">
        <v>788.22</v>
      </c>
      <c r="Q38" s="16">
        <v>1536.6163003327351</v>
      </c>
      <c r="R38" s="19">
        <f t="shared" si="9"/>
        <v>0.51295824457238981</v>
      </c>
      <c r="S38" s="19" t="e">
        <f t="shared" si="4"/>
        <v>#N/A</v>
      </c>
      <c r="T38" s="19">
        <f t="shared" si="0"/>
        <v>0.51737053669667088</v>
      </c>
      <c r="U38" s="4">
        <f t="shared" si="5"/>
        <v>0.45711201121344125</v>
      </c>
      <c r="V38" s="4">
        <f t="shared" si="5"/>
        <v>0.46255588997431896</v>
      </c>
      <c r="W38" s="4">
        <f t="shared" si="5"/>
        <v>0.45099308392757553</v>
      </c>
      <c r="X38" s="36">
        <v>667</v>
      </c>
      <c r="Y38" s="36">
        <v>795</v>
      </c>
      <c r="Z38" s="36">
        <v>410</v>
      </c>
      <c r="AA38" s="21">
        <f t="shared" si="6"/>
        <v>0.51737053669667088</v>
      </c>
      <c r="AB38" s="4">
        <f t="shared" ref="AB38:AB66" si="10">W38</f>
        <v>0.45099308392757553</v>
      </c>
      <c r="AC38" s="4">
        <f t="shared" si="8"/>
        <v>6.6377452769095346E-2</v>
      </c>
      <c r="AD38" s="36">
        <v>8.5</v>
      </c>
      <c r="AE38" s="4"/>
      <c r="AF38" s="4"/>
      <c r="AI38" s="4"/>
      <c r="AJ38" s="4"/>
    </row>
    <row r="39" spans="1:36" ht="16" x14ac:dyDescent="0.2">
      <c r="A39" s="2" t="s">
        <v>18</v>
      </c>
      <c r="B39" s="4" t="s">
        <v>106</v>
      </c>
      <c r="C39" s="4" t="s">
        <v>66</v>
      </c>
      <c r="D39" s="8">
        <v>-37.739166666666669</v>
      </c>
      <c r="E39" s="8">
        <v>140.79388888888889</v>
      </c>
      <c r="F39" s="8">
        <v>1</v>
      </c>
      <c r="G39" s="1" t="s">
        <v>58</v>
      </c>
      <c r="H39" s="4" t="s">
        <v>60</v>
      </c>
      <c r="I39" s="10">
        <v>1975</v>
      </c>
      <c r="J39" s="42">
        <v>2000</v>
      </c>
      <c r="K39" s="42">
        <v>2004</v>
      </c>
      <c r="L39" s="16">
        <v>719.75</v>
      </c>
      <c r="M39" s="16">
        <v>1505.5054804425965</v>
      </c>
      <c r="N39" s="19">
        <f t="shared" si="2"/>
        <v>0.47807863162902869</v>
      </c>
      <c r="O39" s="19">
        <f t="shared" si="3"/>
        <v>0.80561264621552353</v>
      </c>
      <c r="P39" s="15">
        <v>788.22</v>
      </c>
      <c r="Q39" s="16">
        <v>1536.6163003327351</v>
      </c>
      <c r="R39" s="19">
        <f t="shared" si="9"/>
        <v>0.51295824457238981</v>
      </c>
      <c r="S39" s="19" t="e">
        <f t="shared" si="4"/>
        <v>#N/A</v>
      </c>
      <c r="T39" s="19">
        <f t="shared" si="0"/>
        <v>0.41324564880803272</v>
      </c>
      <c r="U39" s="4">
        <f t="shared" si="5"/>
        <v>0.45711201121344125</v>
      </c>
      <c r="V39" s="4">
        <f t="shared" si="5"/>
        <v>0.46255588997431896</v>
      </c>
      <c r="W39" s="4">
        <f t="shared" si="5"/>
        <v>0.45099308392757553</v>
      </c>
      <c r="X39" s="36">
        <v>724</v>
      </c>
      <c r="Y39" s="36">
        <v>635</v>
      </c>
      <c r="Z39" s="36">
        <v>380</v>
      </c>
      <c r="AA39" s="21">
        <f t="shared" si="6"/>
        <v>0.41324564880803272</v>
      </c>
      <c r="AB39" s="4">
        <f t="shared" si="10"/>
        <v>0.45099308392757553</v>
      </c>
      <c r="AC39" s="4">
        <f t="shared" si="8"/>
        <v>-3.7747435119542816E-2</v>
      </c>
      <c r="AD39" s="36">
        <v>23</v>
      </c>
      <c r="AE39" s="4"/>
      <c r="AF39" s="4"/>
      <c r="AI39" s="4"/>
      <c r="AJ39" s="4"/>
    </row>
    <row r="40" spans="1:36" ht="16" x14ac:dyDescent="0.2">
      <c r="A40" s="2" t="s">
        <v>18</v>
      </c>
      <c r="B40" s="4" t="s">
        <v>107</v>
      </c>
      <c r="C40" s="4" t="s">
        <v>66</v>
      </c>
      <c r="D40" s="8">
        <v>-37.739166666666669</v>
      </c>
      <c r="E40" s="8">
        <v>140.79388888888889</v>
      </c>
      <c r="F40" s="8">
        <v>1</v>
      </c>
      <c r="G40" s="1" t="s">
        <v>58</v>
      </c>
      <c r="H40" s="4" t="s">
        <v>60</v>
      </c>
      <c r="I40" s="10">
        <v>1978</v>
      </c>
      <c r="J40" s="42">
        <v>1999</v>
      </c>
      <c r="K40" s="42">
        <v>2003</v>
      </c>
      <c r="L40" s="16">
        <v>712.83846153846162</v>
      </c>
      <c r="M40" s="16">
        <v>1505.5696257056975</v>
      </c>
      <c r="N40" s="19">
        <f t="shared" si="2"/>
        <v>0.47346761608871907</v>
      </c>
      <c r="O40" s="19">
        <f t="shared" si="3"/>
        <v>0.71597146721115856</v>
      </c>
      <c r="P40" s="15">
        <v>754.22</v>
      </c>
      <c r="Q40" s="16">
        <v>1526.0449722331091</v>
      </c>
      <c r="R40" s="19">
        <f t="shared" si="9"/>
        <v>0.49423183046586527</v>
      </c>
      <c r="S40" s="19" t="e">
        <f t="shared" si="4"/>
        <v>#N/A</v>
      </c>
      <c r="T40" s="19">
        <f t="shared" si="0"/>
        <v>0.35385588880110208</v>
      </c>
      <c r="U40" s="4">
        <f t="shared" si="5"/>
        <v>0.44357241743592235</v>
      </c>
      <c r="V40" s="4">
        <f t="shared" si="5"/>
        <v>0.44868505207316867</v>
      </c>
      <c r="W40" s="4">
        <f t="shared" si="5"/>
        <v>0.4378075567188171</v>
      </c>
      <c r="X40" s="36">
        <v>600</v>
      </c>
      <c r="Y40" s="36">
        <v>540</v>
      </c>
      <c r="Z40" s="36">
        <v>270</v>
      </c>
      <c r="AA40" s="21">
        <f t="shared" si="6"/>
        <v>0.35385588880110208</v>
      </c>
      <c r="AB40" s="4">
        <f t="shared" si="10"/>
        <v>0.4378075567188171</v>
      </c>
      <c r="AC40" s="4">
        <f t="shared" si="8"/>
        <v>-8.3951667917715023E-2</v>
      </c>
      <c r="AD40" s="36">
        <v>21</v>
      </c>
      <c r="AE40" s="4"/>
      <c r="AF40" s="4"/>
      <c r="AI40" s="4"/>
      <c r="AJ40" s="4"/>
    </row>
    <row r="41" spans="1:36" ht="16" x14ac:dyDescent="0.2">
      <c r="A41" s="2" t="s">
        <v>18</v>
      </c>
      <c r="B41" s="4" t="s">
        <v>75</v>
      </c>
      <c r="C41" s="4" t="s">
        <v>76</v>
      </c>
      <c r="D41" s="8">
        <v>-25.283333333333335</v>
      </c>
      <c r="E41" s="8">
        <v>30.566666666666666</v>
      </c>
      <c r="F41" s="8">
        <v>3</v>
      </c>
      <c r="G41" s="1" t="s">
        <v>79</v>
      </c>
      <c r="H41" s="4" t="s">
        <v>61</v>
      </c>
      <c r="I41" s="10">
        <v>1969</v>
      </c>
      <c r="J41" s="42">
        <v>1973</v>
      </c>
      <c r="K41" s="42">
        <v>1989</v>
      </c>
      <c r="L41" s="16">
        <v>992.16666666666663</v>
      </c>
      <c r="M41" s="16">
        <v>1797.5911178973499</v>
      </c>
      <c r="N41" s="19">
        <f t="shared" si="2"/>
        <v>0.55194235039790818</v>
      </c>
      <c r="O41" s="19">
        <f t="shared" si="3"/>
        <v>1.199507970058195</v>
      </c>
      <c r="P41" s="15">
        <v>963.13529411764716</v>
      </c>
      <c r="Q41" s="16">
        <v>1786.9761903632339</v>
      </c>
      <c r="R41" s="19">
        <f t="shared" si="9"/>
        <v>0.53897488915164182</v>
      </c>
      <c r="S41" s="19" t="e">
        <f t="shared" si="4"/>
        <v>#N/A</v>
      </c>
      <c r="T41" s="19">
        <f t="shared" si="0"/>
        <v>0.64650467519862653</v>
      </c>
      <c r="U41" s="4">
        <f t="shared" si="5"/>
        <v>0.47543802530815849</v>
      </c>
      <c r="V41" s="4">
        <f t="shared" si="5"/>
        <v>0.48134088592773905</v>
      </c>
      <c r="W41" s="4">
        <f t="shared" si="5"/>
        <v>0.4688303001999905</v>
      </c>
      <c r="X41" s="36">
        <v>1167.0076923076924</v>
      </c>
      <c r="Y41" s="36">
        <v>1155.2884615384614</v>
      </c>
      <c r="AA41" s="21">
        <f t="shared" si="6"/>
        <v>0.64650467519862653</v>
      </c>
      <c r="AB41" s="4">
        <f t="shared" si="10"/>
        <v>0.4688303001999905</v>
      </c>
      <c r="AC41" s="4">
        <f t="shared" si="8"/>
        <v>0.17767437499863603</v>
      </c>
      <c r="AD41" s="36">
        <v>30</v>
      </c>
      <c r="AE41" s="4"/>
      <c r="AF41" s="4"/>
      <c r="AI41" s="4"/>
      <c r="AJ41" s="4"/>
    </row>
    <row r="42" spans="1:36" ht="16" x14ac:dyDescent="0.2">
      <c r="A42" s="2" t="s">
        <v>18</v>
      </c>
      <c r="B42" s="4" t="s">
        <v>100</v>
      </c>
      <c r="C42" s="4" t="s">
        <v>101</v>
      </c>
      <c r="D42" s="8">
        <v>35.978166666666667</v>
      </c>
      <c r="E42" s="8">
        <v>-79.09418888888888</v>
      </c>
      <c r="F42" s="8">
        <v>4</v>
      </c>
      <c r="G42" s="1" t="s">
        <v>102</v>
      </c>
      <c r="H42" s="4" t="s">
        <v>62</v>
      </c>
      <c r="I42" s="10">
        <v>1983</v>
      </c>
      <c r="J42" s="42">
        <v>2001</v>
      </c>
      <c r="K42" s="42">
        <v>2004</v>
      </c>
      <c r="L42" s="16">
        <v>1166.1136363636363</v>
      </c>
      <c r="M42" s="16">
        <v>1476.122026451586</v>
      </c>
      <c r="N42" s="19">
        <f t="shared" si="2"/>
        <v>0.78998457814956435</v>
      </c>
      <c r="O42" s="19">
        <f t="shared" si="3"/>
        <v>0.57737893667456819</v>
      </c>
      <c r="P42" s="15">
        <v>1181.2</v>
      </c>
      <c r="Q42" s="16">
        <v>1476.9271665980557</v>
      </c>
      <c r="R42" s="19">
        <f t="shared" si="9"/>
        <v>0.79976861873342631</v>
      </c>
      <c r="S42" s="19" t="e">
        <f t="shared" si="4"/>
        <v>#N/A</v>
      </c>
      <c r="T42" s="19">
        <f t="shared" si="0"/>
        <v>0.46176955466999386</v>
      </c>
      <c r="U42" s="4">
        <f t="shared" si="5"/>
        <v>0.62849133751339092</v>
      </c>
      <c r="V42" s="4">
        <f t="shared" si="5"/>
        <v>0.63837297351469235</v>
      </c>
      <c r="W42" s="4">
        <f t="shared" si="5"/>
        <v>0.6176983865110528</v>
      </c>
      <c r="X42" s="36">
        <v>1091.75</v>
      </c>
      <c r="Y42" s="36">
        <v>682</v>
      </c>
      <c r="AA42" s="21">
        <f t="shared" si="6"/>
        <v>0.46176955466999386</v>
      </c>
      <c r="AB42" s="4">
        <f t="shared" si="10"/>
        <v>0.6176983865110528</v>
      </c>
      <c r="AC42" s="4">
        <f t="shared" si="8"/>
        <v>-0.15592883184105893</v>
      </c>
      <c r="AD42" s="36">
        <v>0.35</v>
      </c>
      <c r="AE42" s="4"/>
      <c r="AF42" s="4"/>
      <c r="AI42" s="4"/>
      <c r="AJ42" s="4"/>
    </row>
    <row r="43" spans="1:36" ht="16" x14ac:dyDescent="0.2">
      <c r="A43" s="2" t="s">
        <v>18</v>
      </c>
      <c r="B43" s="4" t="s">
        <v>19</v>
      </c>
      <c r="C43" s="4" t="s">
        <v>108</v>
      </c>
      <c r="D43" s="8">
        <v>-33.966666666666669</v>
      </c>
      <c r="E43" s="8">
        <v>18.933333333333334</v>
      </c>
      <c r="F43" s="8">
        <v>3</v>
      </c>
      <c r="G43" s="1" t="s">
        <v>85</v>
      </c>
      <c r="H43" s="4" t="s">
        <v>60</v>
      </c>
      <c r="I43" s="10">
        <v>1948</v>
      </c>
      <c r="J43" s="42">
        <v>1978</v>
      </c>
      <c r="K43" s="42">
        <v>1988</v>
      </c>
      <c r="L43" s="16">
        <v>634.56585365853664</v>
      </c>
      <c r="M43" s="16">
        <v>1414.5947571153336</v>
      </c>
      <c r="N43" s="19">
        <f t="shared" si="2"/>
        <v>0.44858490423968095</v>
      </c>
      <c r="O43" s="19">
        <f t="shared" si="3"/>
        <v>0.58002077416175324</v>
      </c>
      <c r="P43" s="15">
        <v>611.9545454545455</v>
      </c>
      <c r="Q43" s="16">
        <v>1423.9404621281619</v>
      </c>
      <c r="R43" s="19">
        <f t="shared" si="9"/>
        <v>0.42976132902350694</v>
      </c>
      <c r="S43" s="19" t="e">
        <f t="shared" si="4"/>
        <v>#N/A</v>
      </c>
      <c r="T43" s="19">
        <f t="shared" si="0"/>
        <v>0.24927049876499843</v>
      </c>
      <c r="U43" s="4">
        <f t="shared" si="5"/>
        <v>0.39475453465604304</v>
      </c>
      <c r="V43" s="4">
        <f t="shared" si="5"/>
        <v>0.39873940306512767</v>
      </c>
      <c r="W43" s="4">
        <f t="shared" si="5"/>
        <v>0.3902048117907384</v>
      </c>
      <c r="X43" s="36">
        <v>642.87777777777785</v>
      </c>
      <c r="Y43" s="36">
        <v>354.94634920634928</v>
      </c>
      <c r="AA43" s="21">
        <f t="shared" si="6"/>
        <v>0.24927049876499843</v>
      </c>
      <c r="AB43" s="4">
        <f t="shared" si="10"/>
        <v>0.3902048117907384</v>
      </c>
      <c r="AC43" s="4">
        <f t="shared" si="8"/>
        <v>-0.14093431302573997</v>
      </c>
      <c r="AD43" s="36">
        <v>5</v>
      </c>
      <c r="AE43" s="4"/>
      <c r="AF43" s="4"/>
      <c r="AI43" s="4"/>
      <c r="AJ43" s="4"/>
    </row>
    <row r="44" spans="1:36" ht="16" x14ac:dyDescent="0.2">
      <c r="A44" s="2" t="s">
        <v>18</v>
      </c>
      <c r="B44" s="4" t="s">
        <v>20</v>
      </c>
      <c r="C44" s="4" t="s">
        <v>109</v>
      </c>
      <c r="D44" s="8">
        <v>-28.916666666666668</v>
      </c>
      <c r="E44" s="8">
        <v>29.133333333333301</v>
      </c>
      <c r="F44" s="8">
        <v>3</v>
      </c>
      <c r="G44" s="1" t="s">
        <v>85</v>
      </c>
      <c r="H44" s="4" t="s">
        <v>61</v>
      </c>
      <c r="I44" s="10">
        <v>1952</v>
      </c>
      <c r="J44" s="42">
        <v>1978</v>
      </c>
      <c r="K44" s="42">
        <v>1988</v>
      </c>
      <c r="L44" s="16">
        <v>863.41081081081063</v>
      </c>
      <c r="M44" s="16">
        <v>1632.4569980864785</v>
      </c>
      <c r="N44" s="19">
        <f t="shared" si="2"/>
        <v>0.52890263683691341</v>
      </c>
      <c r="O44" s="19">
        <f t="shared" si="3"/>
        <v>0.60483865508292911</v>
      </c>
      <c r="P44" s="15">
        <v>805.72727272727275</v>
      </c>
      <c r="Q44" s="16">
        <v>1631.5171631270932</v>
      </c>
      <c r="R44" s="19">
        <f t="shared" si="9"/>
        <v>0.49385154562698741</v>
      </c>
      <c r="S44" s="19" t="e">
        <f t="shared" si="4"/>
        <v>#N/A</v>
      </c>
      <c r="T44" s="19">
        <f t="shared" si="0"/>
        <v>0.29870050466765286</v>
      </c>
      <c r="U44" s="4">
        <f t="shared" si="5"/>
        <v>0.44329445027530201</v>
      </c>
      <c r="V44" s="4">
        <f t="shared" si="5"/>
        <v>0.44840036053908938</v>
      </c>
      <c r="W44" s="4">
        <f t="shared" si="5"/>
        <v>0.43753678935334217</v>
      </c>
      <c r="X44" s="36">
        <v>886.17500000000007</v>
      </c>
      <c r="Y44" s="36">
        <v>487.33500000000009</v>
      </c>
      <c r="AA44" s="21">
        <f t="shared" si="6"/>
        <v>0.29870050466765286</v>
      </c>
      <c r="AB44" s="4">
        <f t="shared" si="10"/>
        <v>0.43753678935334217</v>
      </c>
      <c r="AC44" s="4">
        <f t="shared" si="8"/>
        <v>-0.13883628468568932</v>
      </c>
      <c r="AD44" s="36">
        <v>5</v>
      </c>
      <c r="AE44" s="4"/>
      <c r="AF44" s="4"/>
      <c r="AI44" s="4"/>
      <c r="AJ44" s="4"/>
    </row>
    <row r="45" spans="1:36" ht="16" x14ac:dyDescent="0.2">
      <c r="A45" s="2" t="s">
        <v>18</v>
      </c>
      <c r="B45" s="4" t="s">
        <v>80</v>
      </c>
      <c r="C45" s="4" t="s">
        <v>15</v>
      </c>
      <c r="D45" s="8">
        <v>-16.565333333333335</v>
      </c>
      <c r="E45" s="8">
        <v>-42.893222222222221</v>
      </c>
      <c r="F45" s="8">
        <v>2</v>
      </c>
      <c r="G45" s="1" t="s">
        <v>87</v>
      </c>
      <c r="H45" s="4" t="s">
        <v>110</v>
      </c>
      <c r="I45" s="4">
        <v>1974</v>
      </c>
      <c r="J45" s="19">
        <v>1981</v>
      </c>
      <c r="K45" s="19">
        <v>1983</v>
      </c>
      <c r="L45" s="16">
        <v>1093.19</v>
      </c>
      <c r="M45" s="16">
        <v>2006.5813850497275</v>
      </c>
      <c r="N45" s="19">
        <f t="shared" si="2"/>
        <v>0.54480222339594186</v>
      </c>
      <c r="O45" s="19">
        <f t="shared" si="3"/>
        <v>0.65392109108621521</v>
      </c>
      <c r="P45" s="15">
        <v>1094.9333333333334</v>
      </c>
      <c r="Q45" s="16">
        <v>2004.4364375743153</v>
      </c>
      <c r="R45" s="19">
        <f t="shared" si="9"/>
        <v>0.54625495366586718</v>
      </c>
      <c r="S45" s="19" t="e">
        <f t="shared" si="4"/>
        <v>#N/A</v>
      </c>
      <c r="T45" s="19">
        <f t="shared" si="0"/>
        <v>0.35720763531243382</v>
      </c>
      <c r="U45" s="4">
        <f t="shared" si="5"/>
        <v>0.48046486030770241</v>
      </c>
      <c r="V45" s="4">
        <f t="shared" si="5"/>
        <v>0.48649553067460172</v>
      </c>
      <c r="W45" s="4">
        <f t="shared" si="5"/>
        <v>0.4737213674590679</v>
      </c>
      <c r="X45" s="36">
        <v>1121</v>
      </c>
      <c r="Y45" s="36">
        <v>716</v>
      </c>
      <c r="AA45" s="21">
        <f t="shared" si="6"/>
        <v>0.35720763531243382</v>
      </c>
      <c r="AB45" s="4">
        <f t="shared" si="10"/>
        <v>0.4737213674590679</v>
      </c>
      <c r="AC45" s="4">
        <f t="shared" si="8"/>
        <v>-0.11651373214663407</v>
      </c>
      <c r="AE45" s="4"/>
      <c r="AF45" s="4"/>
      <c r="AI45" s="4"/>
      <c r="AJ45" s="4"/>
    </row>
    <row r="46" spans="1:36" ht="16" x14ac:dyDescent="0.2">
      <c r="A46" s="2" t="s">
        <v>18</v>
      </c>
      <c r="B46" s="11" t="s">
        <v>111</v>
      </c>
      <c r="C46" s="11" t="s">
        <v>112</v>
      </c>
      <c r="D46" s="8">
        <v>33.133333333333333</v>
      </c>
      <c r="E46" s="8">
        <v>-79.783333333333331</v>
      </c>
      <c r="F46" s="8">
        <v>3</v>
      </c>
      <c r="G46" s="1" t="s">
        <v>113</v>
      </c>
      <c r="H46" s="11" t="s">
        <v>114</v>
      </c>
      <c r="I46" s="10">
        <v>1964</v>
      </c>
      <c r="J46" s="42">
        <v>1964</v>
      </c>
      <c r="K46" s="42">
        <v>1984</v>
      </c>
      <c r="L46" s="16">
        <v>1272.952380952381</v>
      </c>
      <c r="M46" s="16">
        <v>1529.8654700720315</v>
      </c>
      <c r="N46" s="19">
        <f t="shared" si="2"/>
        <v>0.83206818236929414</v>
      </c>
      <c r="O46" s="19">
        <f t="shared" si="3"/>
        <v>0.77185798639487102</v>
      </c>
      <c r="P46" s="15">
        <v>1272.952380952381</v>
      </c>
      <c r="Q46" s="16">
        <v>1529.8654700720315</v>
      </c>
      <c r="R46" s="19">
        <f t="shared" si="9"/>
        <v>0.83206818236929414</v>
      </c>
      <c r="S46" s="19" t="e">
        <f t="shared" si="4"/>
        <v>#N/A</v>
      </c>
      <c r="T46" s="19">
        <f t="shared" si="0"/>
        <v>0.64223847178680371</v>
      </c>
      <c r="U46" s="4">
        <f t="shared" si="5"/>
        <v>0.64378654518991518</v>
      </c>
      <c r="V46" s="4">
        <f t="shared" si="5"/>
        <v>0.65403514661402617</v>
      </c>
      <c r="W46" s="4">
        <f t="shared" si="5"/>
        <v>0.63260807727106871</v>
      </c>
      <c r="X46" s="36">
        <v>1319.3846153846155</v>
      </c>
      <c r="Y46" s="36">
        <v>982.53846153846155</v>
      </c>
      <c r="AA46" s="21">
        <f t="shared" si="6"/>
        <v>0.64223847178680371</v>
      </c>
      <c r="AB46" s="4">
        <f t="shared" si="10"/>
        <v>0.63260807727106871</v>
      </c>
      <c r="AC46" s="4">
        <f t="shared" si="8"/>
        <v>9.6303945157349968E-3</v>
      </c>
      <c r="AE46" s="4"/>
      <c r="AF46" s="4"/>
      <c r="AI46" s="4"/>
      <c r="AJ46" s="4"/>
    </row>
    <row r="47" spans="1:36" ht="16" x14ac:dyDescent="0.2">
      <c r="A47" s="2" t="s">
        <v>18</v>
      </c>
      <c r="B47" s="2" t="s">
        <v>116</v>
      </c>
      <c r="C47" s="11" t="s">
        <v>101</v>
      </c>
      <c r="D47" s="8">
        <v>35.799999999999997</v>
      </c>
      <c r="E47" s="8">
        <v>-76.650000000000006</v>
      </c>
      <c r="F47" s="8">
        <v>4</v>
      </c>
      <c r="G47" s="1" t="s">
        <v>118</v>
      </c>
      <c r="H47" s="11" t="s">
        <v>62</v>
      </c>
      <c r="I47" s="9">
        <v>1992</v>
      </c>
      <c r="J47" s="43">
        <v>2005</v>
      </c>
      <c r="K47" s="43">
        <v>2008</v>
      </c>
      <c r="L47" s="16">
        <v>1364.8882352941175</v>
      </c>
      <c r="M47" s="16">
        <v>1335.8906943320494</v>
      </c>
      <c r="N47" s="19">
        <f t="shared" si="2"/>
        <v>1.0217065221616557</v>
      </c>
      <c r="O47" s="19">
        <f t="shared" si="3"/>
        <v>0.79771034381535977</v>
      </c>
      <c r="P47" s="15">
        <v>1362.65</v>
      </c>
      <c r="Q47" s="16">
        <v>1337.0674687360679</v>
      </c>
      <c r="R47" s="19">
        <f t="shared" si="9"/>
        <v>1.0191333136600171</v>
      </c>
      <c r="S47" s="19" t="e">
        <f t="shared" si="4"/>
        <v>#N/A</v>
      </c>
      <c r="T47" s="19">
        <f t="shared" si="0"/>
        <v>0.81297318603341906</v>
      </c>
      <c r="U47" s="4">
        <f t="shared" si="5"/>
        <v>0.71886228988809941</v>
      </c>
      <c r="V47" s="4">
        <f t="shared" si="5"/>
        <v>0.73060847334057599</v>
      </c>
      <c r="W47" s="4">
        <f t="shared" si="5"/>
        <v>0.70608744681403235</v>
      </c>
      <c r="X47" s="36">
        <v>1238</v>
      </c>
      <c r="Y47" s="36">
        <v>1087</v>
      </c>
      <c r="AA47" s="21">
        <f t="shared" si="6"/>
        <v>0.81297318603341906</v>
      </c>
      <c r="AB47" s="4">
        <f t="shared" si="10"/>
        <v>0.70608744681403235</v>
      </c>
      <c r="AC47" s="4">
        <f t="shared" si="8"/>
        <v>0.10688573921938671</v>
      </c>
      <c r="AE47" s="4"/>
      <c r="AF47" s="4"/>
      <c r="AI47" s="4"/>
      <c r="AJ47" s="4"/>
    </row>
    <row r="48" spans="1:36" ht="16" x14ac:dyDescent="0.2">
      <c r="A48" s="2" t="s">
        <v>18</v>
      </c>
      <c r="B48" s="2" t="s">
        <v>117</v>
      </c>
      <c r="C48" s="2" t="s">
        <v>115</v>
      </c>
      <c r="D48" s="8">
        <v>29.733333333333334</v>
      </c>
      <c r="E48" s="8">
        <v>-82.158333333333346</v>
      </c>
      <c r="F48" s="8">
        <v>4</v>
      </c>
      <c r="G48" s="1" t="s">
        <v>129</v>
      </c>
      <c r="H48" s="11" t="s">
        <v>62</v>
      </c>
      <c r="I48" s="9">
        <v>1977</v>
      </c>
      <c r="J48" s="43">
        <v>1997</v>
      </c>
      <c r="K48" s="16">
        <v>2000</v>
      </c>
      <c r="L48" s="16">
        <v>1232.1421052631579</v>
      </c>
      <c r="M48" s="16">
        <v>1516.2129259681233</v>
      </c>
      <c r="N48" s="19">
        <f t="shared" si="2"/>
        <v>0.81264450669184063</v>
      </c>
      <c r="O48" s="19">
        <f t="shared" si="3"/>
        <v>0.87111777283047154</v>
      </c>
      <c r="P48" s="15">
        <v>1134.175</v>
      </c>
      <c r="Q48" s="16">
        <v>1548.9886280949581</v>
      </c>
      <c r="R48" s="19">
        <f t="shared" si="9"/>
        <v>0.73220356781758844</v>
      </c>
      <c r="S48" s="19" t="e">
        <f t="shared" si="4"/>
        <v>#N/A</v>
      </c>
      <c r="T48" s="19">
        <f t="shared" si="0"/>
        <v>0.63783554125578279</v>
      </c>
      <c r="U48" s="4">
        <f t="shared" si="5"/>
        <v>0.59401740587323082</v>
      </c>
      <c r="V48" s="4">
        <f t="shared" si="5"/>
        <v>0.60302855391230992</v>
      </c>
      <c r="W48" s="4">
        <f t="shared" si="5"/>
        <v>0.58413680528615286</v>
      </c>
      <c r="X48" s="36">
        <v>1098</v>
      </c>
      <c r="Y48" s="36">
        <v>988</v>
      </c>
      <c r="AA48" s="21">
        <f t="shared" si="6"/>
        <v>0.63783554125578279</v>
      </c>
      <c r="AB48" s="4">
        <f t="shared" si="10"/>
        <v>0.58413680528615286</v>
      </c>
      <c r="AC48" s="4">
        <f t="shared" si="8"/>
        <v>5.3698735969629929E-2</v>
      </c>
      <c r="AE48" s="4"/>
      <c r="AF48" s="4"/>
      <c r="AI48" s="4"/>
      <c r="AJ48" s="4"/>
    </row>
    <row r="49" spans="1:57" ht="16" x14ac:dyDescent="0.2">
      <c r="A49" s="2" t="s">
        <v>18</v>
      </c>
      <c r="B49" s="2" t="s">
        <v>117</v>
      </c>
      <c r="C49" s="2" t="s">
        <v>115</v>
      </c>
      <c r="D49" s="8">
        <v>29.733333333333334</v>
      </c>
      <c r="E49" s="8">
        <v>-82.158333333333346</v>
      </c>
      <c r="F49" s="8">
        <v>4</v>
      </c>
      <c r="G49" s="1" t="s">
        <v>129</v>
      </c>
      <c r="H49" s="11" t="s">
        <v>62</v>
      </c>
      <c r="I49" s="9">
        <v>1977</v>
      </c>
      <c r="J49" s="43">
        <v>2000</v>
      </c>
      <c r="K49" s="16">
        <v>2001</v>
      </c>
      <c r="L49" s="16">
        <v>1270.7458333333334</v>
      </c>
      <c r="M49" s="16">
        <v>1667.8500203617405</v>
      </c>
      <c r="N49" s="19">
        <f t="shared" si="2"/>
        <v>0.76190653705044831</v>
      </c>
      <c r="O49" s="19">
        <f t="shared" si="3"/>
        <v>1.0281764288493671</v>
      </c>
      <c r="P49" s="15">
        <v>1092.2249999999999</v>
      </c>
      <c r="Q49" s="16">
        <v>1676.0608383548288</v>
      </c>
      <c r="R49" s="19">
        <f t="shared" si="9"/>
        <v>0.65166190570510274</v>
      </c>
      <c r="S49" s="19" t="e">
        <f t="shared" si="4"/>
        <v>#N/A</v>
      </c>
      <c r="T49" s="19">
        <f t="shared" si="0"/>
        <v>0.67002341102504559</v>
      </c>
      <c r="U49" s="4">
        <f t="shared" si="5"/>
        <v>0.5482984808548621</v>
      </c>
      <c r="V49" s="4">
        <f t="shared" si="5"/>
        <v>0.55610589280722178</v>
      </c>
      <c r="W49" s="4">
        <f t="shared" si="5"/>
        <v>0.53967994133154518</v>
      </c>
      <c r="X49" s="36">
        <v>1175.5</v>
      </c>
      <c r="Y49" s="36">
        <v>1123</v>
      </c>
      <c r="AA49" s="21">
        <f t="shared" si="6"/>
        <v>0.67002341102504559</v>
      </c>
      <c r="AB49" s="4">
        <f t="shared" si="10"/>
        <v>0.53967994133154518</v>
      </c>
      <c r="AC49" s="4">
        <f t="shared" si="8"/>
        <v>0.13034346969350041</v>
      </c>
      <c r="AE49" s="4"/>
      <c r="AF49" s="4"/>
      <c r="AI49" s="4"/>
      <c r="AJ49" s="4"/>
    </row>
    <row r="50" spans="1:57" ht="16" x14ac:dyDescent="0.2">
      <c r="A50" s="2" t="s">
        <v>18</v>
      </c>
      <c r="B50" s="2" t="s">
        <v>121</v>
      </c>
      <c r="C50" s="2" t="s">
        <v>101</v>
      </c>
      <c r="D50" s="8">
        <v>35.18333333333333</v>
      </c>
      <c r="E50" s="8">
        <v>-76.183333333333337</v>
      </c>
      <c r="F50" s="8">
        <v>4</v>
      </c>
      <c r="G50" s="1" t="s">
        <v>131</v>
      </c>
      <c r="H50" s="11" t="s">
        <v>130</v>
      </c>
      <c r="I50" s="2">
        <v>2002</v>
      </c>
      <c r="J50" s="16">
        <v>2006</v>
      </c>
      <c r="K50" s="16">
        <v>2009</v>
      </c>
      <c r="L50" s="16">
        <v>1269.836</v>
      </c>
      <c r="M50" s="16">
        <v>1667.1277610774694</v>
      </c>
      <c r="N50" s="19">
        <f t="shared" si="2"/>
        <v>0.7616908731573766</v>
      </c>
      <c r="O50" s="19">
        <f t="shared" si="3"/>
        <v>0.67450910229458338</v>
      </c>
      <c r="P50" s="15">
        <v>1117.8499999999999</v>
      </c>
      <c r="Q50" s="16">
        <v>1680.7778226855858</v>
      </c>
      <c r="R50" s="19">
        <f t="shared" si="9"/>
        <v>0.66507898004857846</v>
      </c>
      <c r="S50" s="19" t="e">
        <f t="shared" si="4"/>
        <v>#N/A</v>
      </c>
      <c r="T50" s="19">
        <f t="shared" si="0"/>
        <v>0.44860182578756386</v>
      </c>
      <c r="U50" s="4">
        <f t="shared" si="5"/>
        <v>0.55627536203266392</v>
      </c>
      <c r="V50" s="4">
        <f t="shared" si="5"/>
        <v>0.56429446087886359</v>
      </c>
      <c r="W50" s="4">
        <f t="shared" si="5"/>
        <v>0.54743458946409662</v>
      </c>
      <c r="X50" s="36">
        <v>883</v>
      </c>
      <c r="Y50" s="36">
        <v>754</v>
      </c>
      <c r="AA50" s="21">
        <f t="shared" si="6"/>
        <v>0.44860182578756386</v>
      </c>
      <c r="AB50" s="4">
        <f t="shared" si="10"/>
        <v>0.54743458946409662</v>
      </c>
      <c r="AC50" s="4">
        <f t="shared" si="8"/>
        <v>-9.8832763676532764E-2</v>
      </c>
      <c r="AE50" s="4"/>
      <c r="AF50" s="4"/>
      <c r="AI50" s="4"/>
      <c r="AJ50" s="4"/>
    </row>
    <row r="51" spans="1:57" ht="16" x14ac:dyDescent="0.2">
      <c r="A51" s="2" t="s">
        <v>18</v>
      </c>
      <c r="B51" s="2" t="s">
        <v>122</v>
      </c>
      <c r="C51" s="2" t="s">
        <v>101</v>
      </c>
      <c r="D51" s="8">
        <v>35.18333333333333</v>
      </c>
      <c r="E51" s="8">
        <v>-76.183333333333337</v>
      </c>
      <c r="F51" s="8">
        <v>4</v>
      </c>
      <c r="G51" s="1" t="s">
        <v>131</v>
      </c>
      <c r="H51" s="11" t="s">
        <v>130</v>
      </c>
      <c r="I51" s="2">
        <v>1990</v>
      </c>
      <c r="J51" s="16">
        <v>2006</v>
      </c>
      <c r="K51" s="16">
        <v>2009</v>
      </c>
      <c r="L51" s="16">
        <v>1411.65</v>
      </c>
      <c r="M51" s="16">
        <v>1353.6157826395115</v>
      </c>
      <c r="N51" s="19">
        <f t="shared" si="2"/>
        <v>1.042873478652357</v>
      </c>
      <c r="O51" s="19">
        <f t="shared" si="3"/>
        <v>0.76562133416751388</v>
      </c>
      <c r="P51" s="15">
        <v>1278.7</v>
      </c>
      <c r="Q51" s="16">
        <v>1376.2710798621381</v>
      </c>
      <c r="R51" s="19">
        <f t="shared" si="9"/>
        <v>0.92910475175289464</v>
      </c>
      <c r="S51" s="19" t="e">
        <f t="shared" si="4"/>
        <v>#N/A</v>
      </c>
      <c r="T51" s="19">
        <f t="shared" si="0"/>
        <v>0.71134241961842792</v>
      </c>
      <c r="U51" s="4">
        <f t="shared" si="5"/>
        <v>0.6854488158873735</v>
      </c>
      <c r="V51" s="4">
        <f t="shared" si="5"/>
        <v>0.69660467831987227</v>
      </c>
      <c r="W51" s="4">
        <f t="shared" si="5"/>
        <v>0.67331061094018452</v>
      </c>
      <c r="X51" s="36">
        <v>1033</v>
      </c>
      <c r="Y51" s="36">
        <v>979</v>
      </c>
      <c r="AA51" s="21">
        <f t="shared" si="6"/>
        <v>0.71134241961842792</v>
      </c>
      <c r="AB51" s="4">
        <f t="shared" si="10"/>
        <v>0.67331061094018452</v>
      </c>
      <c r="AC51" s="4">
        <f t="shared" si="8"/>
        <v>3.8031808678243406E-2</v>
      </c>
      <c r="AE51" s="4"/>
      <c r="AF51" s="4"/>
      <c r="AI51" s="4"/>
      <c r="AJ51" s="4"/>
    </row>
    <row r="52" spans="1:57" ht="16" x14ac:dyDescent="0.2">
      <c r="A52" s="2" t="s">
        <v>18</v>
      </c>
      <c r="B52" s="2" t="s">
        <v>123</v>
      </c>
      <c r="C52" s="2" t="s">
        <v>124</v>
      </c>
      <c r="D52" s="8">
        <v>-26.033333333333335</v>
      </c>
      <c r="E52" s="8">
        <v>152.83333333333334</v>
      </c>
      <c r="F52" s="8">
        <v>3</v>
      </c>
      <c r="G52" s="1" t="s">
        <v>132</v>
      </c>
      <c r="H52" s="11" t="s">
        <v>119</v>
      </c>
      <c r="I52" s="9">
        <v>1951</v>
      </c>
      <c r="J52" s="43">
        <v>1987</v>
      </c>
      <c r="K52" s="43">
        <v>1997</v>
      </c>
      <c r="L52" s="16">
        <v>1156.8957446808511</v>
      </c>
      <c r="M52" s="16">
        <v>1754.6897280415433</v>
      </c>
      <c r="N52" s="19">
        <f t="shared" si="2"/>
        <v>0.65931641713780009</v>
      </c>
      <c r="O52" s="19">
        <f t="shared" si="3"/>
        <v>1.0047774650317598</v>
      </c>
      <c r="P52" s="15">
        <v>1123.9636363636364</v>
      </c>
      <c r="Q52" s="16">
        <v>1746.2744187986355</v>
      </c>
      <c r="R52" s="19">
        <f t="shared" si="9"/>
        <v>0.64363517226397715</v>
      </c>
      <c r="S52" s="19" t="e">
        <f t="shared" si="4"/>
        <v>#N/A</v>
      </c>
      <c r="T52" s="19">
        <f t="shared" si="0"/>
        <v>0.64671011679267909</v>
      </c>
      <c r="U52" s="4">
        <f t="shared" si="5"/>
        <v>0.5434561920192702</v>
      </c>
      <c r="V52" s="4">
        <f t="shared" si="5"/>
        <v>0.55113506305931215</v>
      </c>
      <c r="W52" s="4">
        <f t="shared" si="5"/>
        <v>0.5349726873193148</v>
      </c>
      <c r="X52" s="36">
        <v>1284.4000000000001</v>
      </c>
      <c r="Y52" s="36">
        <v>1129.3333333333333</v>
      </c>
      <c r="AA52" s="21">
        <f t="shared" si="6"/>
        <v>0.64671011679267909</v>
      </c>
      <c r="AB52" s="4">
        <f t="shared" si="10"/>
        <v>0.5349726873193148</v>
      </c>
      <c r="AC52" s="4">
        <f t="shared" si="8"/>
        <v>0.11173742947336429</v>
      </c>
      <c r="AE52" s="4"/>
      <c r="AF52" s="4"/>
      <c r="AI52" s="4"/>
      <c r="AJ52" s="4"/>
    </row>
    <row r="53" spans="1:57" ht="16" x14ac:dyDescent="0.2">
      <c r="A53" s="2" t="s">
        <v>18</v>
      </c>
      <c r="B53" s="2" t="s">
        <v>125</v>
      </c>
      <c r="C53" s="2" t="s">
        <v>126</v>
      </c>
      <c r="D53" s="14">
        <f>-35-6/60</f>
        <v>-35.1</v>
      </c>
      <c r="E53" s="14">
        <v>-72</v>
      </c>
      <c r="F53" s="14">
        <v>1</v>
      </c>
      <c r="G53" s="1" t="s">
        <v>133</v>
      </c>
      <c r="H53" s="11" t="s">
        <v>60</v>
      </c>
      <c r="I53" s="13">
        <v>1990</v>
      </c>
      <c r="J53" s="44">
        <v>2002</v>
      </c>
      <c r="K53" s="44">
        <v>2003</v>
      </c>
      <c r="L53" s="16">
        <v>862.40000000000009</v>
      </c>
      <c r="M53" s="16">
        <v>1664.7808174127724</v>
      </c>
      <c r="N53" s="19">
        <f t="shared" si="2"/>
        <v>0.51802615153882636</v>
      </c>
      <c r="O53" s="19">
        <f t="shared" si="3"/>
        <v>1.00504636846416</v>
      </c>
      <c r="P53" s="15">
        <v>946.22500000000025</v>
      </c>
      <c r="Q53" s="16">
        <v>1689.1020617980878</v>
      </c>
      <c r="R53" s="19">
        <f t="shared" si="9"/>
        <v>0.56019409448397817</v>
      </c>
      <c r="S53" s="19" t="e">
        <f t="shared" si="4"/>
        <v>#N/A</v>
      </c>
      <c r="T53" s="19">
        <f t="shared" si="0"/>
        <v>0.56302104029619071</v>
      </c>
      <c r="U53" s="4">
        <f t="shared" si="5"/>
        <v>0.48996609112699474</v>
      </c>
      <c r="V53" s="4">
        <f t="shared" si="5"/>
        <v>0.49624032334649626</v>
      </c>
      <c r="W53" s="4">
        <f t="shared" si="5"/>
        <v>0.48296425622221029</v>
      </c>
      <c r="X53" s="36">
        <v>1015</v>
      </c>
      <c r="Y53" s="36">
        <v>951</v>
      </c>
      <c r="AA53" s="21">
        <f t="shared" si="6"/>
        <v>0.56302104029619071</v>
      </c>
      <c r="AB53" s="4">
        <f t="shared" si="10"/>
        <v>0.48296425622221029</v>
      </c>
      <c r="AC53" s="4">
        <f t="shared" si="8"/>
        <v>8.0056784073980425E-2</v>
      </c>
      <c r="AE53" s="4"/>
      <c r="AF53" s="4"/>
      <c r="AI53" s="4"/>
      <c r="AJ53" s="4"/>
    </row>
    <row r="54" spans="1:57" ht="16" x14ac:dyDescent="0.2">
      <c r="A54" s="2" t="s">
        <v>18</v>
      </c>
      <c r="B54" s="2" t="s">
        <v>21</v>
      </c>
      <c r="C54" s="2" t="s">
        <v>126</v>
      </c>
      <c r="D54" s="14">
        <f>-37-14/60</f>
        <v>-37.233333333333334</v>
      </c>
      <c r="E54" s="14">
        <f>-72-19/60</f>
        <v>-72.316666666666663</v>
      </c>
      <c r="F54" s="14">
        <v>1</v>
      </c>
      <c r="G54" s="1" t="s">
        <v>133</v>
      </c>
      <c r="H54" s="11" t="s">
        <v>60</v>
      </c>
      <c r="I54" s="13">
        <f>1999-14</f>
        <v>1985</v>
      </c>
      <c r="J54" s="44">
        <v>1999</v>
      </c>
      <c r="K54" s="44">
        <v>2001</v>
      </c>
      <c r="L54" s="16">
        <v>1306.7705882352946</v>
      </c>
      <c r="M54" s="16">
        <v>1655.8962343777848</v>
      </c>
      <c r="N54" s="19">
        <f t="shared" si="2"/>
        <v>0.78916212326935042</v>
      </c>
      <c r="O54" s="19">
        <f t="shared" si="3"/>
        <v>0.60255331088664421</v>
      </c>
      <c r="P54" s="15">
        <v>1425.6000000000001</v>
      </c>
      <c r="Q54" s="16">
        <v>1645.9000585211663</v>
      </c>
      <c r="R54" s="19">
        <f t="shared" si="9"/>
        <v>0.86615222632709254</v>
      </c>
      <c r="S54" s="19" t="e">
        <f t="shared" si="4"/>
        <v>#N/A</v>
      </c>
      <c r="T54" s="19">
        <f t="shared" si="0"/>
        <v>0.52190289170522752</v>
      </c>
      <c r="U54" s="4">
        <f t="shared" si="5"/>
        <v>0.6591341757443685</v>
      </c>
      <c r="V54" s="4">
        <f t="shared" si="5"/>
        <v>0.66973470965749193</v>
      </c>
      <c r="W54" s="4">
        <f t="shared" si="5"/>
        <v>0.6475848951875951</v>
      </c>
      <c r="X54" s="36">
        <v>1138</v>
      </c>
      <c r="Y54" s="36">
        <v>859</v>
      </c>
      <c r="AA54" s="21">
        <f t="shared" si="6"/>
        <v>0.52190289170522752</v>
      </c>
      <c r="AB54" s="4">
        <f t="shared" si="10"/>
        <v>0.6475848951875951</v>
      </c>
      <c r="AC54" s="4">
        <f t="shared" si="8"/>
        <v>-0.12568200348236758</v>
      </c>
      <c r="AE54" s="4"/>
      <c r="AF54" s="4"/>
      <c r="AI54" s="4"/>
      <c r="AJ54" s="4"/>
    </row>
    <row r="55" spans="1:57" ht="16" x14ac:dyDescent="0.2">
      <c r="A55" s="2" t="s">
        <v>18</v>
      </c>
      <c r="B55" s="2" t="s">
        <v>22</v>
      </c>
      <c r="C55" s="2" t="s">
        <v>126</v>
      </c>
      <c r="D55" s="14">
        <f>-37-55/60</f>
        <v>-37.916666666666664</v>
      </c>
      <c r="E55" s="14">
        <f>-72-25/60</f>
        <v>-72.416666666666671</v>
      </c>
      <c r="F55" s="14">
        <v>1</v>
      </c>
      <c r="G55" s="1" t="s">
        <v>133</v>
      </c>
      <c r="H55" s="11" t="s">
        <v>60</v>
      </c>
      <c r="I55" s="13">
        <f>1999-12</f>
        <v>1987</v>
      </c>
      <c r="J55" s="44">
        <v>1999</v>
      </c>
      <c r="K55" s="44">
        <v>2000</v>
      </c>
      <c r="L55" s="16">
        <v>1313.2157894736843</v>
      </c>
      <c r="M55" s="16">
        <v>1652.3896719234804</v>
      </c>
      <c r="N55" s="19">
        <f t="shared" si="2"/>
        <v>0.79473735026739944</v>
      </c>
      <c r="O55" s="19">
        <f t="shared" si="3"/>
        <v>0.69374298540965196</v>
      </c>
      <c r="P55" s="15">
        <v>1425.6000000000001</v>
      </c>
      <c r="Q55" s="16">
        <v>1645.9000585211663</v>
      </c>
      <c r="R55" s="19">
        <f t="shared" si="9"/>
        <v>0.86615222632709254</v>
      </c>
      <c r="S55" s="19" t="e">
        <f t="shared" si="4"/>
        <v>#N/A</v>
      </c>
      <c r="T55" s="19">
        <f t="shared" si="0"/>
        <v>0.60088703131137378</v>
      </c>
      <c r="U55" s="4">
        <f t="shared" si="5"/>
        <v>0.6591341757443685</v>
      </c>
      <c r="V55" s="4">
        <f t="shared" si="5"/>
        <v>0.66973470965749193</v>
      </c>
      <c r="W55" s="4">
        <f t="shared" si="5"/>
        <v>0.6475848951875951</v>
      </c>
      <c r="X55" s="36">
        <v>1189</v>
      </c>
      <c r="Y55" s="36">
        <v>989</v>
      </c>
      <c r="AA55" s="21">
        <f t="shared" si="6"/>
        <v>0.60088703131137378</v>
      </c>
      <c r="AB55" s="4">
        <f t="shared" si="10"/>
        <v>0.6475848951875951</v>
      </c>
      <c r="AC55" s="4">
        <f t="shared" si="8"/>
        <v>-4.6697863876221324E-2</v>
      </c>
      <c r="AE55" s="4"/>
      <c r="AF55" s="4"/>
      <c r="AI55" s="4"/>
      <c r="AJ55" s="4"/>
    </row>
    <row r="56" spans="1:57" ht="16" x14ac:dyDescent="0.2">
      <c r="A56" s="2" t="s">
        <v>18</v>
      </c>
      <c r="B56" s="2" t="s">
        <v>23</v>
      </c>
      <c r="C56" s="2" t="s">
        <v>126</v>
      </c>
      <c r="D56" s="14">
        <f>-39-48/60</f>
        <v>-39.799999999999997</v>
      </c>
      <c r="E56" s="14">
        <f>-73-14/60</f>
        <v>-73.233333333333334</v>
      </c>
      <c r="F56" s="14">
        <v>1</v>
      </c>
      <c r="G56" s="1" t="s">
        <v>133</v>
      </c>
      <c r="H56" s="11" t="s">
        <v>60</v>
      </c>
      <c r="I56" s="13">
        <f>1999-13</f>
        <v>1986</v>
      </c>
      <c r="J56" s="44">
        <v>1999</v>
      </c>
      <c r="K56" s="44">
        <v>2000</v>
      </c>
      <c r="L56" s="16">
        <v>1258.6400000000001</v>
      </c>
      <c r="M56" s="16">
        <v>1399.7331792316752</v>
      </c>
      <c r="N56" s="19">
        <f t="shared" si="2"/>
        <v>0.89919994658616131</v>
      </c>
      <c r="O56" s="19">
        <f t="shared" si="3"/>
        <v>0.74243813015582016</v>
      </c>
      <c r="P56" s="15">
        <v>1309.2000000000003</v>
      </c>
      <c r="Q56" s="16">
        <v>1411.5764067688278</v>
      </c>
      <c r="R56" s="19">
        <f t="shared" si="9"/>
        <v>0.92747370508751104</v>
      </c>
      <c r="S56" s="19" t="e">
        <f t="shared" si="4"/>
        <v>#N/A</v>
      </c>
      <c r="T56" s="19">
        <f t="shared" si="0"/>
        <v>0.68859184337386226</v>
      </c>
      <c r="U56" s="4">
        <f t="shared" si="5"/>
        <v>0.68479896378237171</v>
      </c>
      <c r="V56" s="4">
        <f t="shared" si="5"/>
        <v>0.69594196271308806</v>
      </c>
      <c r="W56" s="4">
        <f t="shared" si="5"/>
        <v>0.67267447731581154</v>
      </c>
      <c r="X56" s="36">
        <v>2081</v>
      </c>
      <c r="Y56" s="36">
        <v>972</v>
      </c>
      <c r="AA56" s="21">
        <f t="shared" si="6"/>
        <v>0.68859184337386226</v>
      </c>
      <c r="AB56" s="4">
        <f t="shared" si="10"/>
        <v>0.67267447731581154</v>
      </c>
      <c r="AC56" s="4">
        <f t="shared" si="8"/>
        <v>1.5917366058050719E-2</v>
      </c>
      <c r="AE56" s="4"/>
      <c r="AF56" s="4"/>
      <c r="AI56" s="4"/>
      <c r="AJ56" s="4"/>
    </row>
    <row r="57" spans="1:57" ht="16" x14ac:dyDescent="0.2">
      <c r="A57" s="2" t="s">
        <v>18</v>
      </c>
      <c r="B57" s="2" t="s">
        <v>24</v>
      </c>
      <c r="C57" s="2" t="s">
        <v>127</v>
      </c>
      <c r="D57" s="6">
        <v>-36.549999999999997</v>
      </c>
      <c r="E57" s="6">
        <v>146.75</v>
      </c>
      <c r="F57" s="6">
        <v>3</v>
      </c>
      <c r="G57" s="1" t="s">
        <v>134</v>
      </c>
      <c r="H57" s="11" t="s">
        <v>60</v>
      </c>
      <c r="I57" s="2">
        <v>1980</v>
      </c>
      <c r="J57" s="16">
        <v>1997</v>
      </c>
      <c r="K57" s="16">
        <v>2006</v>
      </c>
      <c r="L57" s="16">
        <v>1400.25</v>
      </c>
      <c r="M57" s="16">
        <v>1100</v>
      </c>
      <c r="N57" s="19">
        <f t="shared" si="2"/>
        <v>1.2729545454545454</v>
      </c>
      <c r="O57" s="19">
        <f t="shared" si="3"/>
        <v>0.61618014640242813</v>
      </c>
      <c r="P57" s="15">
        <v>1400.25</v>
      </c>
      <c r="Q57" s="16">
        <v>1100</v>
      </c>
      <c r="R57" s="19">
        <f t="shared" si="9"/>
        <v>1.2729545454545454</v>
      </c>
      <c r="S57" s="19" t="e">
        <f t="shared" si="4"/>
        <v>#N/A</v>
      </c>
      <c r="T57" s="19">
        <f t="shared" si="0"/>
        <v>0.78436931818181821</v>
      </c>
      <c r="U57" s="4">
        <f t="shared" si="5"/>
        <v>0.79118127633637014</v>
      </c>
      <c r="V57" s="4">
        <f t="shared" si="5"/>
        <v>0.80354186160261709</v>
      </c>
      <c r="W57" s="4">
        <f t="shared" si="5"/>
        <v>0.77767133265901944</v>
      </c>
      <c r="X57" s="36">
        <v>1400.25</v>
      </c>
      <c r="Y57" s="36">
        <v>862.80624999999998</v>
      </c>
      <c r="AA57" s="21">
        <f t="shared" si="6"/>
        <v>0.78436931818181821</v>
      </c>
      <c r="AB57" s="4">
        <f t="shared" si="10"/>
        <v>0.77767133265901944</v>
      </c>
      <c r="AC57" s="4">
        <f t="shared" si="8"/>
        <v>6.6979855227987661E-3</v>
      </c>
      <c r="AE57" s="4"/>
      <c r="AF57" s="4"/>
      <c r="AI57" s="4"/>
      <c r="AJ57" s="4"/>
    </row>
    <row r="58" spans="1:57" ht="16" x14ac:dyDescent="0.2">
      <c r="A58" s="2" t="s">
        <v>18</v>
      </c>
      <c r="B58" s="2" t="s">
        <v>136</v>
      </c>
      <c r="C58" s="2" t="s">
        <v>128</v>
      </c>
      <c r="D58" s="6">
        <v>-32.33</v>
      </c>
      <c r="E58" s="6">
        <v>150.08000000000001</v>
      </c>
      <c r="F58" s="6">
        <v>3</v>
      </c>
      <c r="G58" s="1" t="s">
        <v>135</v>
      </c>
      <c r="H58" s="11" t="s">
        <v>60</v>
      </c>
      <c r="I58" s="2">
        <v>1978</v>
      </c>
      <c r="J58" s="16">
        <v>1978</v>
      </c>
      <c r="K58" s="16">
        <v>1993</v>
      </c>
      <c r="L58" s="16">
        <v>737.84374999999989</v>
      </c>
      <c r="M58" s="16">
        <v>1450</v>
      </c>
      <c r="N58" s="19">
        <f t="shared" si="2"/>
        <v>0.5088577586206896</v>
      </c>
      <c r="O58" s="19">
        <f t="shared" si="3"/>
        <v>0.8978357545211979</v>
      </c>
      <c r="P58" s="15">
        <v>737.84374999999989</v>
      </c>
      <c r="Q58" s="16">
        <v>1450</v>
      </c>
      <c r="R58" s="19">
        <f t="shared" si="9"/>
        <v>0.5088577586206896</v>
      </c>
      <c r="S58" s="19" t="e">
        <f t="shared" si="4"/>
        <v>#N/A</v>
      </c>
      <c r="T58" s="19">
        <f t="shared" si="0"/>
        <v>0.45687068965517241</v>
      </c>
      <c r="U58" s="4">
        <f t="shared" si="5"/>
        <v>0.45417218090922828</v>
      </c>
      <c r="V58" s="4">
        <f t="shared" si="5"/>
        <v>0.45954353619896127</v>
      </c>
      <c r="W58" s="4">
        <f t="shared" si="5"/>
        <v>0.44813067608178669</v>
      </c>
      <c r="X58" s="36">
        <v>737.84374999999989</v>
      </c>
      <c r="Y58" s="36">
        <v>662.46249999999998</v>
      </c>
      <c r="AA58" s="21">
        <f t="shared" si="6"/>
        <v>0.45687068965517241</v>
      </c>
      <c r="AB58" s="4">
        <f t="shared" si="10"/>
        <v>0.44813067608178669</v>
      </c>
      <c r="AC58" s="4">
        <f t="shared" si="8"/>
        <v>8.7400135733857187E-3</v>
      </c>
      <c r="AE58" s="4"/>
      <c r="AF58" s="4"/>
      <c r="AI58" s="4"/>
      <c r="AJ58" s="4"/>
    </row>
    <row r="59" spans="1:57" customFormat="1" ht="16" x14ac:dyDescent="0.2">
      <c r="A59" s="2" t="s">
        <v>18</v>
      </c>
      <c r="B59" s="2" t="s">
        <v>45</v>
      </c>
      <c r="C59" s="2" t="s">
        <v>101</v>
      </c>
      <c r="D59">
        <v>35.25</v>
      </c>
      <c r="E59">
        <f>-83.25</f>
        <v>-83.25</v>
      </c>
      <c r="F59" s="6">
        <v>3</v>
      </c>
      <c r="G59" s="1" t="s">
        <v>137</v>
      </c>
      <c r="H59" s="11" t="s">
        <v>120</v>
      </c>
      <c r="I59" s="2">
        <v>1956</v>
      </c>
      <c r="J59" s="16">
        <v>2004</v>
      </c>
      <c r="K59" s="16">
        <v>2005</v>
      </c>
      <c r="L59" s="16">
        <v>1604.29</v>
      </c>
      <c r="M59" s="16">
        <v>1467.1146317505188</v>
      </c>
      <c r="N59" s="19">
        <f t="shared" si="2"/>
        <v>1.0935001023647399</v>
      </c>
      <c r="O59" s="19">
        <f t="shared" si="3"/>
        <v>0.80599344466989231</v>
      </c>
      <c r="P59" s="15">
        <v>1601.75</v>
      </c>
      <c r="Q59" s="16">
        <v>1432.1823816033689</v>
      </c>
      <c r="R59" s="19">
        <f t="shared" si="9"/>
        <v>1.1183980619890013</v>
      </c>
      <c r="S59" s="19" t="e">
        <f t="shared" si="4"/>
        <v>#N/A</v>
      </c>
      <c r="T59" s="19">
        <f t="shared" si="0"/>
        <v>0.90142150649464692</v>
      </c>
      <c r="U59" s="4">
        <f t="shared" si="5"/>
        <v>0.75061139750882888</v>
      </c>
      <c r="V59" s="4">
        <f t="shared" si="5"/>
        <v>0.76275990776936631</v>
      </c>
      <c r="W59" s="4">
        <f t="shared" si="5"/>
        <v>0.73738492197997307</v>
      </c>
      <c r="X59" s="36">
        <v>2240</v>
      </c>
      <c r="Y59" s="36">
        <v>1291</v>
      </c>
      <c r="Z59" s="39">
        <v>706</v>
      </c>
      <c r="AA59" s="21">
        <f t="shared" si="6"/>
        <v>0.90142150649464692</v>
      </c>
      <c r="AB59" s="4">
        <f t="shared" si="10"/>
        <v>0.73738492197997307</v>
      </c>
      <c r="AC59" s="4">
        <f t="shared" si="8"/>
        <v>0.16403658451467384</v>
      </c>
      <c r="AD59" s="39"/>
      <c r="AE59" s="4"/>
      <c r="AF59" s="4"/>
      <c r="AI59" s="4"/>
      <c r="AJ59" s="4"/>
      <c r="AX59" s="2"/>
      <c r="AY59" s="2"/>
      <c r="AZ59" s="2"/>
      <c r="BA59" s="2"/>
      <c r="BB59" s="2"/>
      <c r="BC59" s="2"/>
      <c r="BD59" s="2"/>
      <c r="BE59" s="2"/>
    </row>
    <row r="60" spans="1:57" customFormat="1" ht="16" x14ac:dyDescent="0.2">
      <c r="A60" s="2" t="s">
        <v>18</v>
      </c>
      <c r="B60" s="2" t="s">
        <v>153</v>
      </c>
      <c r="C60" s="2" t="s">
        <v>154</v>
      </c>
      <c r="D60">
        <v>-39.4</v>
      </c>
      <c r="E60" s="9">
        <v>176.24</v>
      </c>
      <c r="F60" s="9">
        <v>3</v>
      </c>
      <c r="G60" s="1" t="s">
        <v>138</v>
      </c>
      <c r="H60" s="11" t="s">
        <v>60</v>
      </c>
      <c r="I60" s="2">
        <v>1973</v>
      </c>
      <c r="J60" s="16">
        <v>1973</v>
      </c>
      <c r="K60" s="16">
        <v>2000</v>
      </c>
      <c r="L60" s="15">
        <v>1512</v>
      </c>
      <c r="M60" s="16">
        <v>1304</v>
      </c>
      <c r="N60" s="19">
        <f t="shared" si="2"/>
        <v>1.1595092024539877</v>
      </c>
      <c r="O60" s="19">
        <f t="shared" si="3"/>
        <v>0.68121693121693117</v>
      </c>
      <c r="P60" s="15">
        <v>1512</v>
      </c>
      <c r="Q60" s="16">
        <v>1304</v>
      </c>
      <c r="R60" s="19">
        <f t="shared" si="9"/>
        <v>1.1595092024539877</v>
      </c>
      <c r="S60" s="19" t="e">
        <f t="shared" si="4"/>
        <v>#N/A</v>
      </c>
      <c r="T60" s="19">
        <f t="shared" si="0"/>
        <v>0.78987730061349692</v>
      </c>
      <c r="U60" s="4">
        <f t="shared" si="5"/>
        <v>0.7623754970664558</v>
      </c>
      <c r="V60" s="4">
        <f t="shared" si="5"/>
        <v>0.77462444074858983</v>
      </c>
      <c r="W60" s="4">
        <f t="shared" si="5"/>
        <v>0.74902882803092363</v>
      </c>
      <c r="X60" s="36">
        <v>1554</v>
      </c>
      <c r="Y60" s="36">
        <v>1030</v>
      </c>
      <c r="Z60" s="39"/>
      <c r="AA60" s="21">
        <f t="shared" si="6"/>
        <v>0.78987730061349692</v>
      </c>
      <c r="AB60" s="4">
        <f t="shared" si="10"/>
        <v>0.74902882803092363</v>
      </c>
      <c r="AC60" s="4">
        <f t="shared" si="8"/>
        <v>4.0848472582573292E-2</v>
      </c>
      <c r="AD60" s="39"/>
      <c r="AE60" s="4"/>
      <c r="AF60" s="4"/>
      <c r="AI60" s="4"/>
      <c r="AJ60" s="4"/>
    </row>
    <row r="61" spans="1:57" s="29" customFormat="1" ht="16" x14ac:dyDescent="0.2">
      <c r="A61" s="27" t="s">
        <v>18</v>
      </c>
      <c r="B61" s="23" t="s">
        <v>147</v>
      </c>
      <c r="C61" s="23" t="s">
        <v>150</v>
      </c>
      <c r="D61" s="24">
        <v>-37.254170000000002</v>
      </c>
      <c r="E61" s="24">
        <v>-73.187624</v>
      </c>
      <c r="F61" s="24">
        <v>1</v>
      </c>
      <c r="G61" s="25" t="s">
        <v>161</v>
      </c>
      <c r="H61" s="28" t="s">
        <v>60</v>
      </c>
      <c r="I61" s="27">
        <v>1996</v>
      </c>
      <c r="J61" s="16">
        <v>2017</v>
      </c>
      <c r="K61" s="16">
        <v>2020</v>
      </c>
      <c r="L61" s="18">
        <v>1395</v>
      </c>
      <c r="M61" s="19">
        <v>1515</v>
      </c>
      <c r="N61" s="19">
        <f t="shared" si="2"/>
        <v>0.92079207920792083</v>
      </c>
      <c r="O61" s="19">
        <f t="shared" ref="O61:O66" si="11">Y61/X61</f>
        <v>0.43693962940824865</v>
      </c>
      <c r="P61" s="18">
        <v>1673</v>
      </c>
      <c r="Q61" s="23">
        <v>1467</v>
      </c>
      <c r="R61" s="23">
        <f t="shared" si="9"/>
        <v>1.1404226312201773</v>
      </c>
      <c r="S61" s="23" t="e">
        <f t="shared" si="4"/>
        <v>#N/A</v>
      </c>
      <c r="T61" s="23">
        <f t="shared" si="0"/>
        <v>0.49829584185412407</v>
      </c>
      <c r="U61" s="23">
        <f t="shared" si="5"/>
        <v>0.75700813763889085</v>
      </c>
      <c r="V61" s="23">
        <f t="shared" si="5"/>
        <v>0.76921486427673447</v>
      </c>
      <c r="W61" s="23">
        <f t="shared" si="5"/>
        <v>0.7437128023174413</v>
      </c>
      <c r="X61" s="38">
        <v>1673</v>
      </c>
      <c r="Y61" s="36">
        <v>731</v>
      </c>
      <c r="Z61" s="39">
        <v>465</v>
      </c>
      <c r="AA61" s="21">
        <f t="shared" si="6"/>
        <v>0.49829584185412407</v>
      </c>
      <c r="AB61" s="23">
        <f t="shared" si="10"/>
        <v>0.7437128023174413</v>
      </c>
      <c r="AC61" s="23">
        <f t="shared" si="8"/>
        <v>-0.24541696046331724</v>
      </c>
      <c r="AD61" s="37">
        <v>1</v>
      </c>
      <c r="AE61" s="23"/>
      <c r="AF61" s="23"/>
      <c r="AI61" s="23"/>
      <c r="AJ61" s="23"/>
    </row>
    <row r="62" spans="1:57" s="29" customFormat="1" ht="16" x14ac:dyDescent="0.2">
      <c r="A62" s="27" t="s">
        <v>18</v>
      </c>
      <c r="B62" s="27" t="s">
        <v>148</v>
      </c>
      <c r="C62" s="27" t="s">
        <v>151</v>
      </c>
      <c r="D62" s="30">
        <v>-35.38908</v>
      </c>
      <c r="E62" s="30">
        <v>-72.22</v>
      </c>
      <c r="F62" s="30">
        <v>3</v>
      </c>
      <c r="G62" s="25" t="s">
        <v>161</v>
      </c>
      <c r="H62" s="28" t="s">
        <v>60</v>
      </c>
      <c r="I62" s="27">
        <v>2003</v>
      </c>
      <c r="J62" s="16">
        <v>2016</v>
      </c>
      <c r="K62" s="16">
        <v>2017</v>
      </c>
      <c r="L62" s="16">
        <v>1016</v>
      </c>
      <c r="M62" s="16">
        <v>1855</v>
      </c>
      <c r="N62" s="19">
        <f t="shared" si="2"/>
        <v>0.54770889487870622</v>
      </c>
      <c r="O62" s="19">
        <f t="shared" si="11"/>
        <v>0.86081694402420572</v>
      </c>
      <c r="P62" s="45">
        <v>661</v>
      </c>
      <c r="Q62" s="29">
        <v>1781</v>
      </c>
      <c r="R62" s="23">
        <f t="shared" si="9"/>
        <v>0.37113980909601346</v>
      </c>
      <c r="S62" s="23" t="e">
        <f t="shared" si="4"/>
        <v>#N/A</v>
      </c>
      <c r="T62" s="23">
        <f t="shared" si="0"/>
        <v>0.31948343627175746</v>
      </c>
      <c r="U62" s="23">
        <f t="shared" si="5"/>
        <v>0.3474868727958591</v>
      </c>
      <c r="V62" s="23">
        <f t="shared" si="5"/>
        <v>0.35049669190144161</v>
      </c>
      <c r="W62" s="23">
        <f t="shared" si="5"/>
        <v>0.34400265849513767</v>
      </c>
      <c r="X62" s="40">
        <v>661</v>
      </c>
      <c r="Y62" s="36">
        <v>569</v>
      </c>
      <c r="Z62" s="39">
        <v>377</v>
      </c>
      <c r="AA62" s="21">
        <f t="shared" si="6"/>
        <v>0.31948343627175746</v>
      </c>
      <c r="AB62" s="23">
        <f t="shared" si="10"/>
        <v>0.34400265849513767</v>
      </c>
      <c r="AC62" s="23">
        <f t="shared" si="8"/>
        <v>-2.451922222338021E-2</v>
      </c>
      <c r="AD62" s="37">
        <v>0.5</v>
      </c>
      <c r="AE62" s="23"/>
      <c r="AF62" s="23"/>
      <c r="AI62" s="23"/>
      <c r="AJ62" s="23"/>
    </row>
    <row r="63" spans="1:57" s="29" customFormat="1" ht="16" x14ac:dyDescent="0.2">
      <c r="A63" s="27" t="s">
        <v>18</v>
      </c>
      <c r="B63" s="27" t="s">
        <v>155</v>
      </c>
      <c r="C63" s="27" t="s">
        <v>152</v>
      </c>
      <c r="D63" s="30">
        <v>-39.909999999999997</v>
      </c>
      <c r="E63" s="30">
        <v>-73.099999999999994</v>
      </c>
      <c r="F63" s="30">
        <v>3</v>
      </c>
      <c r="G63" s="26" t="s">
        <v>157</v>
      </c>
      <c r="H63" s="28" t="s">
        <v>60</v>
      </c>
      <c r="I63" s="29">
        <v>1990</v>
      </c>
      <c r="J63" s="46">
        <v>2012</v>
      </c>
      <c r="K63" s="46">
        <v>2017</v>
      </c>
      <c r="L63" s="46">
        <v>2210</v>
      </c>
      <c r="M63" s="46">
        <v>1110</v>
      </c>
      <c r="N63" s="19">
        <f t="shared" si="2"/>
        <v>1.9909909909909911</v>
      </c>
      <c r="O63" s="19">
        <f t="shared" si="11"/>
        <v>0.50969387755102036</v>
      </c>
      <c r="P63" s="45">
        <v>1960</v>
      </c>
      <c r="Q63" s="29">
        <v>1080</v>
      </c>
      <c r="R63" s="23">
        <f t="shared" si="9"/>
        <v>1.8148148148148149</v>
      </c>
      <c r="S63" s="23" t="e">
        <f t="shared" si="4"/>
        <v>#N/A</v>
      </c>
      <c r="T63" s="29">
        <f t="shared" si="0"/>
        <v>0.92500000000000004</v>
      </c>
      <c r="U63" s="23">
        <f t="shared" si="5"/>
        <v>0.87788287251113872</v>
      </c>
      <c r="V63" s="23">
        <f t="shared" si="5"/>
        <v>0.88897887442586598</v>
      </c>
      <c r="W63" s="23">
        <f t="shared" si="5"/>
        <v>0.86548393799226631</v>
      </c>
      <c r="X63" s="40">
        <f>P63</f>
        <v>1960</v>
      </c>
      <c r="Y63" s="39">
        <v>999</v>
      </c>
      <c r="Z63" s="39"/>
      <c r="AA63" s="21">
        <f t="shared" si="6"/>
        <v>0.92500000000000004</v>
      </c>
      <c r="AB63" s="23">
        <f t="shared" si="10"/>
        <v>0.86548393799226631</v>
      </c>
      <c r="AC63" s="23">
        <f t="shared" si="8"/>
        <v>5.9516062007733739E-2</v>
      </c>
      <c r="AD63" s="39">
        <v>1.5</v>
      </c>
    </row>
    <row r="64" spans="1:57" s="29" customFormat="1" ht="16" x14ac:dyDescent="0.2">
      <c r="A64" s="27" t="s">
        <v>18</v>
      </c>
      <c r="B64" s="27" t="s">
        <v>156</v>
      </c>
      <c r="C64" s="27" t="s">
        <v>152</v>
      </c>
      <c r="D64" s="30">
        <v>-39.909999999999997</v>
      </c>
      <c r="E64" s="30">
        <v>-73.099999999999994</v>
      </c>
      <c r="F64" s="30">
        <v>3</v>
      </c>
      <c r="G64" s="26" t="s">
        <v>157</v>
      </c>
      <c r="H64" s="28" t="s">
        <v>60</v>
      </c>
      <c r="I64" s="29">
        <v>1990</v>
      </c>
      <c r="J64" s="46">
        <v>2012</v>
      </c>
      <c r="K64" s="46">
        <v>2017</v>
      </c>
      <c r="L64" s="46">
        <v>2210</v>
      </c>
      <c r="M64" s="46">
        <v>1110</v>
      </c>
      <c r="N64" s="19">
        <f t="shared" si="2"/>
        <v>1.9909909909909911</v>
      </c>
      <c r="O64" s="19">
        <f t="shared" si="11"/>
        <v>0.46020408163265308</v>
      </c>
      <c r="P64" s="45">
        <v>1960</v>
      </c>
      <c r="Q64" s="29">
        <v>1080</v>
      </c>
      <c r="R64" s="23">
        <f t="shared" si="9"/>
        <v>1.8148148148148149</v>
      </c>
      <c r="S64" s="23" t="e">
        <f t="shared" si="4"/>
        <v>#N/A</v>
      </c>
      <c r="T64" s="29">
        <f t="shared" si="0"/>
        <v>0.83518518518518514</v>
      </c>
      <c r="U64" s="23">
        <f t="shared" si="5"/>
        <v>0.87788287251113872</v>
      </c>
      <c r="V64" s="23">
        <f t="shared" si="5"/>
        <v>0.88897887442586598</v>
      </c>
      <c r="W64" s="23">
        <f t="shared" si="5"/>
        <v>0.86548393799226631</v>
      </c>
      <c r="X64" s="40">
        <f>P64</f>
        <v>1960</v>
      </c>
      <c r="Y64" s="39">
        <v>902</v>
      </c>
      <c r="Z64" s="39"/>
      <c r="AA64" s="21">
        <f t="shared" si="6"/>
        <v>0.83518518518518514</v>
      </c>
      <c r="AB64" s="23">
        <f t="shared" si="10"/>
        <v>0.86548393799226631</v>
      </c>
      <c r="AC64" s="23">
        <f t="shared" si="8"/>
        <v>-3.0298752807081164E-2</v>
      </c>
      <c r="AD64" s="39">
        <v>1.5</v>
      </c>
    </row>
    <row r="65" spans="1:34" s="22" customFormat="1" ht="16" x14ac:dyDescent="0.2">
      <c r="A65" s="20" t="s">
        <v>18</v>
      </c>
      <c r="B65" s="20" t="s">
        <v>162</v>
      </c>
      <c r="C65" s="20" t="s">
        <v>322</v>
      </c>
      <c r="D65" s="22">
        <v>-37.25</v>
      </c>
      <c r="E65" s="22">
        <v>-72.75</v>
      </c>
      <c r="F65" s="22">
        <v>3</v>
      </c>
      <c r="G65" s="31" t="s">
        <v>163</v>
      </c>
      <c r="H65" s="22" t="s">
        <v>60</v>
      </c>
      <c r="I65" s="22">
        <v>1987</v>
      </c>
      <c r="J65" s="46">
        <v>2008</v>
      </c>
      <c r="K65" s="46">
        <v>2017</v>
      </c>
      <c r="L65" s="46">
        <v>959</v>
      </c>
      <c r="M65" s="46">
        <v>1587</v>
      </c>
      <c r="N65" s="19">
        <f t="shared" si="2"/>
        <v>0.60428481411468182</v>
      </c>
      <c r="O65" s="19">
        <f t="shared" si="11"/>
        <v>0.81367924528301883</v>
      </c>
      <c r="P65" s="45">
        <f>X65</f>
        <v>1272</v>
      </c>
      <c r="Q65" s="22">
        <v>1600</v>
      </c>
      <c r="R65" s="22">
        <f t="shared" si="9"/>
        <v>0.79500000000000004</v>
      </c>
      <c r="S65" s="21" t="e">
        <f t="shared" si="4"/>
        <v>#N/A</v>
      </c>
      <c r="T65" s="22">
        <f t="shared" si="0"/>
        <v>0.64687499999999998</v>
      </c>
      <c r="U65" s="22">
        <f t="shared" si="5"/>
        <v>0.62616962282713362</v>
      </c>
      <c r="V65" s="22">
        <f t="shared" si="5"/>
        <v>0.63599434091954521</v>
      </c>
      <c r="W65" s="22">
        <f t="shared" si="5"/>
        <v>0.61543639536933403</v>
      </c>
      <c r="X65" s="40">
        <v>1272</v>
      </c>
      <c r="Y65" s="39">
        <v>1035</v>
      </c>
      <c r="Z65" s="39"/>
      <c r="AA65" s="21">
        <f t="shared" si="6"/>
        <v>0.64687499999999998</v>
      </c>
      <c r="AB65" s="22">
        <f t="shared" si="10"/>
        <v>0.61543639536933403</v>
      </c>
      <c r="AD65" s="39">
        <v>4</v>
      </c>
    </row>
    <row r="66" spans="1:34" s="22" customFormat="1" ht="16" x14ac:dyDescent="0.2">
      <c r="A66" s="20" t="s">
        <v>18</v>
      </c>
      <c r="B66" s="20" t="s">
        <v>165</v>
      </c>
      <c r="C66" s="20" t="s">
        <v>322</v>
      </c>
      <c r="D66" s="22">
        <v>-37.25</v>
      </c>
      <c r="E66" s="22">
        <v>-72.75</v>
      </c>
      <c r="F66" s="22">
        <v>3</v>
      </c>
      <c r="G66" s="31" t="s">
        <v>163</v>
      </c>
      <c r="H66" s="22" t="s">
        <v>60</v>
      </c>
      <c r="I66" s="22">
        <v>1987</v>
      </c>
      <c r="J66" s="46">
        <v>2008</v>
      </c>
      <c r="K66" s="46">
        <v>2017</v>
      </c>
      <c r="L66" s="46">
        <v>959</v>
      </c>
      <c r="M66" s="46">
        <v>1587</v>
      </c>
      <c r="N66" s="19">
        <f t="shared" si="2"/>
        <v>0.60428481411468182</v>
      </c>
      <c r="O66" s="19">
        <f t="shared" si="11"/>
        <v>0.81317829457364343</v>
      </c>
      <c r="P66" s="45">
        <f>X66</f>
        <v>1290</v>
      </c>
      <c r="Q66" s="22">
        <v>1600</v>
      </c>
      <c r="R66" s="22">
        <f t="shared" si="9"/>
        <v>0.80625000000000002</v>
      </c>
      <c r="S66" s="21" t="e">
        <f t="shared" si="4"/>
        <v>#N/A</v>
      </c>
      <c r="T66" s="22">
        <f t="shared" si="0"/>
        <v>0.65562500000000001</v>
      </c>
      <c r="U66" s="22">
        <f t="shared" si="5"/>
        <v>0.63162048584735841</v>
      </c>
      <c r="V66" s="22">
        <f t="shared" si="5"/>
        <v>0.64157835768798077</v>
      </c>
      <c r="W66" s="22">
        <f t="shared" si="5"/>
        <v>0.62074751522593519</v>
      </c>
      <c r="X66" s="39">
        <v>1290</v>
      </c>
      <c r="Y66" s="39">
        <v>1049</v>
      </c>
      <c r="Z66" s="39"/>
      <c r="AA66" s="21">
        <f t="shared" si="6"/>
        <v>0.65562500000000001</v>
      </c>
      <c r="AB66" s="22">
        <f t="shared" si="10"/>
        <v>0.62074751522593519</v>
      </c>
      <c r="AD66" s="39">
        <v>4</v>
      </c>
    </row>
    <row r="67" spans="1:34" x14ac:dyDescent="0.2">
      <c r="R67" s="16" t="s">
        <v>3</v>
      </c>
      <c r="U67" s="2" t="s">
        <v>28</v>
      </c>
      <c r="V67" s="2" t="s">
        <v>9</v>
      </c>
      <c r="W67" s="2" t="s">
        <v>18</v>
      </c>
      <c r="X67" s="36" t="s">
        <v>140</v>
      </c>
    </row>
    <row r="68" spans="1:34" x14ac:dyDescent="0.2">
      <c r="A68" s="3" t="s">
        <v>44</v>
      </c>
      <c r="R68" s="16">
        <v>0.01</v>
      </c>
      <c r="U68" s="4">
        <f>1+$R68-(1+$R68^U$8)^(1/U$8)</f>
        <v>9.9987914935280031E-3</v>
      </c>
      <c r="V68" s="4">
        <f t="shared" ref="U68:W83" si="12">1+$R68-(1+$R68^V$8)^(1/V$8)</f>
        <v>9.9992715904433371E-3</v>
      </c>
      <c r="W68" s="4">
        <f t="shared" si="12"/>
        <v>9.9979921813007078E-3</v>
      </c>
      <c r="X68" s="36">
        <f>V68/W68</f>
        <v>1.0001279666076377</v>
      </c>
    </row>
    <row r="69" spans="1:34" x14ac:dyDescent="0.2">
      <c r="A69" s="49" t="s">
        <v>195</v>
      </c>
      <c r="B69" s="20"/>
      <c r="C69" s="20"/>
      <c r="D69" s="50"/>
      <c r="E69" s="50"/>
      <c r="F69" s="50"/>
      <c r="R69" s="16">
        <v>0.1</v>
      </c>
      <c r="U69" s="4">
        <f t="shared" si="12"/>
        <v>9.9336258942203326E-2</v>
      </c>
      <c r="V69" s="4">
        <f t="shared" si="12"/>
        <v>9.9493973172983363E-2</v>
      </c>
      <c r="W69" s="4">
        <f t="shared" si="12"/>
        <v>9.9128203391618319E-2</v>
      </c>
      <c r="X69" s="36">
        <f t="shared" ref="X69:X89" si="13">V69/W69</f>
        <v>1.0036898659397671</v>
      </c>
      <c r="AG69" s="2" t="s">
        <v>189</v>
      </c>
      <c r="AH69" s="35">
        <v>978.5</v>
      </c>
    </row>
    <row r="70" spans="1:34" x14ac:dyDescent="0.2">
      <c r="A70" s="49" t="s">
        <v>196</v>
      </c>
      <c r="B70" s="20"/>
      <c r="C70" s="20"/>
      <c r="D70" s="50"/>
      <c r="E70" s="50"/>
      <c r="F70" s="50"/>
      <c r="R70" s="16">
        <v>0.2</v>
      </c>
      <c r="U70" s="4">
        <f t="shared" si="12"/>
        <v>0.19558019557317818</v>
      </c>
      <c r="V70" s="4">
        <f t="shared" si="12"/>
        <v>0.19638209626212366</v>
      </c>
      <c r="W70" s="4">
        <f t="shared" si="12"/>
        <v>0.19459343614458047</v>
      </c>
      <c r="X70" s="36">
        <f t="shared" si="13"/>
        <v>1.0091917803240509</v>
      </c>
      <c r="AG70" s="2" t="s">
        <v>190</v>
      </c>
      <c r="AH70" s="35">
        <v>-110600</v>
      </c>
    </row>
    <row r="71" spans="1:34" x14ac:dyDescent="0.2">
      <c r="A71" s="49" t="s">
        <v>197</v>
      </c>
      <c r="B71" s="20"/>
      <c r="C71" s="20"/>
      <c r="D71" s="50"/>
      <c r="E71" s="50"/>
      <c r="F71" s="50"/>
      <c r="R71" s="16">
        <v>0.3</v>
      </c>
      <c r="T71" s="19"/>
      <c r="U71" s="4">
        <f t="shared" si="12"/>
        <v>0.28667886965829292</v>
      </c>
      <c r="V71" s="4">
        <f t="shared" si="12"/>
        <v>0.28862856120043823</v>
      </c>
      <c r="W71" s="4">
        <f t="shared" si="12"/>
        <v>0.28437462725674645</v>
      </c>
      <c r="X71" s="36">
        <f t="shared" si="13"/>
        <v>1.0149589082005235</v>
      </c>
      <c r="AG71" s="2" t="s">
        <v>191</v>
      </c>
      <c r="AH71" s="35">
        <v>-8.0420000000000005E-3</v>
      </c>
    </row>
    <row r="72" spans="1:34" x14ac:dyDescent="0.2">
      <c r="A72" s="49" t="s">
        <v>198</v>
      </c>
      <c r="B72" s="20"/>
      <c r="C72" s="20"/>
      <c r="D72" s="50"/>
      <c r="E72" s="50"/>
      <c r="F72" s="50"/>
      <c r="R72" s="16">
        <v>0.4</v>
      </c>
      <c r="T72" s="19"/>
      <c r="U72" s="4">
        <f t="shared" si="12"/>
        <v>0.3710911853516039</v>
      </c>
      <c r="V72" s="4">
        <f t="shared" si="12"/>
        <v>0.37457235395631772</v>
      </c>
      <c r="W72" s="4">
        <f t="shared" si="12"/>
        <v>0.36708989963152305</v>
      </c>
      <c r="X72" s="36">
        <f t="shared" si="13"/>
        <v>1.0203831659010651</v>
      </c>
    </row>
    <row r="73" spans="1:34" x14ac:dyDescent="0.2">
      <c r="A73" s="49" t="s">
        <v>199</v>
      </c>
      <c r="B73" s="20"/>
      <c r="C73" s="20"/>
      <c r="D73" s="50"/>
      <c r="E73" s="50"/>
      <c r="F73" s="50"/>
      <c r="R73" s="16">
        <v>0.5</v>
      </c>
      <c r="T73" s="19"/>
      <c r="U73" s="4">
        <f t="shared" si="12"/>
        <v>0.44777394247895619</v>
      </c>
      <c r="V73" s="4">
        <f t="shared" si="12"/>
        <v>0.45298859815670656</v>
      </c>
      <c r="W73" s="4">
        <f t="shared" si="12"/>
        <v>0.44189990800803547</v>
      </c>
      <c r="X73" s="36">
        <f t="shared" si="13"/>
        <v>1.0250932166939248</v>
      </c>
      <c r="AG73" s="2">
        <v>600</v>
      </c>
      <c r="AH73" s="2">
        <f t="shared" ref="AH73:AH93" si="14">AH$69+AH$70*EXP(AH$71*$AG73)</f>
        <v>90.94067155235598</v>
      </c>
    </row>
    <row r="74" spans="1:34" x14ac:dyDescent="0.2">
      <c r="A74" s="49"/>
      <c r="B74" s="20"/>
      <c r="C74" s="20"/>
      <c r="D74" s="50"/>
      <c r="E74" s="50"/>
      <c r="F74" s="50"/>
      <c r="R74" s="16">
        <v>0.6</v>
      </c>
      <c r="T74" s="19"/>
      <c r="U74" s="4">
        <f t="shared" si="12"/>
        <v>0.51620507609586963</v>
      </c>
      <c r="V74" s="4">
        <f t="shared" si="12"/>
        <v>0.52316304136949277</v>
      </c>
      <c r="W74" s="4">
        <f t="shared" si="12"/>
        <v>0.50848044834714234</v>
      </c>
      <c r="X74" s="36">
        <f t="shared" si="13"/>
        <v>1.0288754328117775</v>
      </c>
      <c r="AG74" s="2">
        <v>650</v>
      </c>
      <c r="AH74" s="2">
        <f t="shared" si="14"/>
        <v>384.79927165210904</v>
      </c>
    </row>
    <row r="75" spans="1:34" x14ac:dyDescent="0.2">
      <c r="A75" s="49" t="s">
        <v>200</v>
      </c>
      <c r="B75" s="20"/>
      <c r="C75" s="20"/>
      <c r="D75" s="50"/>
      <c r="E75" s="50"/>
      <c r="F75" s="50"/>
      <c r="R75" s="16">
        <v>0.7</v>
      </c>
      <c r="T75" s="19"/>
      <c r="U75" s="4">
        <f t="shared" si="12"/>
        <v>0.5763562086486651</v>
      </c>
      <c r="V75" s="4">
        <f t="shared" si="12"/>
        <v>0.58490610364916185</v>
      </c>
      <c r="W75" s="4">
        <f t="shared" si="12"/>
        <v>0.56695883869425701</v>
      </c>
      <c r="X75" s="36">
        <f t="shared" si="13"/>
        <v>1.0316553226266629</v>
      </c>
      <c r="AG75" s="2">
        <f>AG74+AG74-AG73</f>
        <v>700</v>
      </c>
      <c r="AH75" s="2">
        <f t="shared" si="14"/>
        <v>581.36535948271694</v>
      </c>
    </row>
    <row r="76" spans="1:34" x14ac:dyDescent="0.2">
      <c r="A76" s="49"/>
      <c r="B76" s="20"/>
      <c r="C76" s="20"/>
      <c r="D76" s="50"/>
      <c r="E76" s="50"/>
      <c r="F76" s="50"/>
      <c r="R76" s="16">
        <v>0.8</v>
      </c>
      <c r="T76" s="19"/>
      <c r="U76" s="4">
        <f t="shared" si="12"/>
        <v>0.6286035701265591</v>
      </c>
      <c r="V76" s="4">
        <f t="shared" si="12"/>
        <v>0.63848795004462677</v>
      </c>
      <c r="W76" s="4">
        <f t="shared" si="12"/>
        <v>0.6178077395506818</v>
      </c>
      <c r="X76" s="36">
        <f t="shared" si="13"/>
        <v>1.0334735374292741</v>
      </c>
      <c r="AG76" s="2">
        <f t="shared" ref="AG76:AG88" si="15">AG75+AG75-AG74</f>
        <v>750</v>
      </c>
      <c r="AH76" s="2">
        <f t="shared" si="14"/>
        <v>712.85113826174256</v>
      </c>
    </row>
    <row r="77" spans="1:34" x14ac:dyDescent="0.2">
      <c r="A77" s="49" t="s">
        <v>201</v>
      </c>
      <c r="B77" s="20"/>
      <c r="C77" s="20"/>
      <c r="D77" s="50"/>
      <c r="E77" s="50"/>
      <c r="F77" s="50"/>
      <c r="R77" s="16">
        <v>0.9</v>
      </c>
      <c r="T77" s="19"/>
      <c r="U77" s="4">
        <f t="shared" si="12"/>
        <v>0.67360119637954696</v>
      </c>
      <c r="V77" s="4">
        <f t="shared" si="12"/>
        <v>0.68451542805735044</v>
      </c>
      <c r="W77" s="4">
        <f t="shared" si="12"/>
        <v>0.66171998954975653</v>
      </c>
      <c r="X77" s="36">
        <f t="shared" si="13"/>
        <v>1.0344487681611436</v>
      </c>
      <c r="AG77" s="2">
        <f t="shared" si="15"/>
        <v>800</v>
      </c>
      <c r="AH77" s="2">
        <f t="shared" si="14"/>
        <v>800.80379689137021</v>
      </c>
    </row>
    <row r="78" spans="1:34" x14ac:dyDescent="0.2">
      <c r="A78" s="49" t="s">
        <v>202</v>
      </c>
      <c r="B78" s="20"/>
      <c r="C78" s="20"/>
      <c r="D78" s="50"/>
      <c r="E78" s="50"/>
      <c r="F78" s="50"/>
      <c r="R78" s="16">
        <v>1</v>
      </c>
      <c r="T78" s="19"/>
      <c r="U78" s="4">
        <f t="shared" si="12"/>
        <v>0.71215095006058049</v>
      </c>
      <c r="V78" s="4">
        <f t="shared" si="12"/>
        <v>0.7237907605969085</v>
      </c>
      <c r="W78" s="4">
        <f t="shared" si="12"/>
        <v>0.69949219570545762</v>
      </c>
      <c r="X78" s="36">
        <f t="shared" si="13"/>
        <v>1.0347374353003969</v>
      </c>
      <c r="AG78" s="2">
        <f t="shared" si="15"/>
        <v>850</v>
      </c>
      <c r="AH78" s="2">
        <f t="shared" si="14"/>
        <v>859.63654847753492</v>
      </c>
    </row>
    <row r="79" spans="1:34" x14ac:dyDescent="0.2">
      <c r="A79" s="49" t="s">
        <v>203</v>
      </c>
      <c r="B79" s="20"/>
      <c r="C79" s="20"/>
      <c r="D79" s="50"/>
      <c r="E79" s="50"/>
      <c r="F79" s="50"/>
      <c r="R79" s="16">
        <v>1.1000000000000001</v>
      </c>
      <c r="T79" s="19"/>
      <c r="U79" s="4">
        <f t="shared" si="12"/>
        <v>0.74509547210531246</v>
      </c>
      <c r="V79" s="4">
        <f t="shared" si="12"/>
        <v>0.75718718955130715</v>
      </c>
      <c r="W79" s="4">
        <f t="shared" si="12"/>
        <v>0.73193477270424379</v>
      </c>
      <c r="X79" s="36">
        <f t="shared" si="13"/>
        <v>1.03450091154129</v>
      </c>
      <c r="AG79" s="2">
        <f t="shared" si="15"/>
        <v>900</v>
      </c>
      <c r="AH79" s="2">
        <f t="shared" si="14"/>
        <v>898.9905909036429</v>
      </c>
    </row>
    <row r="80" spans="1:34" x14ac:dyDescent="0.2">
      <c r="A80" s="49" t="s">
        <v>204</v>
      </c>
      <c r="B80" s="20"/>
      <c r="C80" s="20"/>
      <c r="D80" s="50"/>
      <c r="E80" s="50"/>
      <c r="F80" s="50"/>
      <c r="R80" s="16">
        <v>1.2</v>
      </c>
      <c r="T80" s="19"/>
      <c r="U80" s="4">
        <f t="shared" si="12"/>
        <v>0.77324470402708689</v>
      </c>
      <c r="V80" s="4">
        <f t="shared" si="12"/>
        <v>0.78555948034717238</v>
      </c>
      <c r="W80" s="4">
        <f t="shared" si="12"/>
        <v>0.7598132331520242</v>
      </c>
      <c r="X80" s="36">
        <f t="shared" si="13"/>
        <v>1.0338849681366327</v>
      </c>
      <c r="AG80" s="2">
        <f t="shared" si="15"/>
        <v>950</v>
      </c>
      <c r="AH80" s="2">
        <f t="shared" si="14"/>
        <v>925.31505497375633</v>
      </c>
    </row>
    <row r="81" spans="1:34" x14ac:dyDescent="0.2">
      <c r="A81" s="49" t="s">
        <v>205</v>
      </c>
      <c r="B81" s="20"/>
      <c r="C81" s="20"/>
      <c r="D81" s="50"/>
      <c r="E81" s="50"/>
      <c r="F81" s="50"/>
      <c r="R81" s="16">
        <v>1.3</v>
      </c>
      <c r="T81" s="19"/>
      <c r="U81" s="4">
        <f t="shared" si="12"/>
        <v>0.79733421361838563</v>
      </c>
      <c r="V81" s="4">
        <f t="shared" si="12"/>
        <v>0.80969084772963407</v>
      </c>
      <c r="W81" s="4">
        <f t="shared" si="12"/>
        <v>0.78381668681769123</v>
      </c>
      <c r="X81" s="36">
        <f t="shared" si="13"/>
        <v>1.0330104747029467</v>
      </c>
      <c r="AG81" s="2">
        <f t="shared" si="15"/>
        <v>1000</v>
      </c>
      <c r="AH81" s="2">
        <f t="shared" si="14"/>
        <v>942.92385360936919</v>
      </c>
    </row>
    <row r="82" spans="1:34" x14ac:dyDescent="0.2">
      <c r="A82" s="49" t="s">
        <v>206</v>
      </c>
      <c r="B82" s="20"/>
      <c r="C82" s="20"/>
      <c r="D82" s="50"/>
      <c r="E82" s="50"/>
      <c r="F82" s="50"/>
      <c r="R82" s="16">
        <v>1.4</v>
      </c>
      <c r="T82" s="19"/>
      <c r="U82" s="4">
        <f t="shared" si="12"/>
        <v>0.81800760510321591</v>
      </c>
      <c r="V82" s="4">
        <f t="shared" si="12"/>
        <v>0.8302688160399454</v>
      </c>
      <c r="W82" s="4">
        <f t="shared" si="12"/>
        <v>0.80454600810549626</v>
      </c>
      <c r="X82" s="36">
        <f t="shared" si="13"/>
        <v>1.0319718296720157</v>
      </c>
      <c r="AG82" s="2">
        <f t="shared" si="15"/>
        <v>1050</v>
      </c>
      <c r="AH82" s="2">
        <f t="shared" si="14"/>
        <v>954.70262291550614</v>
      </c>
    </row>
    <row r="83" spans="1:34" x14ac:dyDescent="0.2">
      <c r="A83" s="49" t="s">
        <v>207</v>
      </c>
      <c r="B83" s="20"/>
      <c r="C83" s="20"/>
      <c r="D83" s="50"/>
      <c r="E83" s="50"/>
      <c r="F83" s="50"/>
      <c r="R83" s="16">
        <v>1.5</v>
      </c>
      <c r="T83" s="19"/>
      <c r="U83" s="4">
        <f t="shared" si="12"/>
        <v>0.83581443476614736</v>
      </c>
      <c r="V83" s="4">
        <f t="shared" si="12"/>
        <v>0.84788024903567405</v>
      </c>
      <c r="W83" s="4">
        <f t="shared" si="12"/>
        <v>0.82251427489700357</v>
      </c>
      <c r="X83" s="36">
        <f t="shared" si="13"/>
        <v>1.0308395549023717</v>
      </c>
      <c r="AG83" s="2">
        <f t="shared" si="15"/>
        <v>1100</v>
      </c>
      <c r="AH83" s="2">
        <f t="shared" si="14"/>
        <v>962.58160485165035</v>
      </c>
    </row>
    <row r="84" spans="1:34" x14ac:dyDescent="0.2">
      <c r="A84" s="49"/>
      <c r="B84" s="20"/>
      <c r="C84" s="20"/>
      <c r="D84" s="50"/>
      <c r="E84" s="50"/>
      <c r="F84" s="50"/>
      <c r="R84" s="16">
        <v>1.6</v>
      </c>
      <c r="U84" s="2">
        <f t="shared" ref="U84:W89" si="16">1+$R84-(1+$R84^U$8)^(1/U$8)</f>
        <v>0.85121668528433858</v>
      </c>
      <c r="V84" s="2">
        <f t="shared" si="16"/>
        <v>0.86301720138049398</v>
      </c>
      <c r="W84" s="2">
        <f t="shared" si="16"/>
        <v>0.83815378548519237</v>
      </c>
      <c r="X84" s="36">
        <f t="shared" si="13"/>
        <v>1.029664503490739</v>
      </c>
      <c r="AG84" s="2">
        <f t="shared" si="15"/>
        <v>1150</v>
      </c>
      <c r="AH84" s="2">
        <f t="shared" si="14"/>
        <v>967.85196500020538</v>
      </c>
    </row>
    <row r="85" spans="1:34" ht="17" x14ac:dyDescent="0.2">
      <c r="A85" s="49" t="s">
        <v>208</v>
      </c>
      <c r="B85" s="20"/>
      <c r="C85" s="20"/>
      <c r="D85" s="50"/>
      <c r="E85" s="50"/>
      <c r="F85" s="50"/>
      <c r="R85" s="16">
        <v>1.7</v>
      </c>
      <c r="U85" s="2">
        <f t="shared" si="16"/>
        <v>0.8645990676733879</v>
      </c>
      <c r="V85" s="2">
        <f t="shared" si="16"/>
        <v>0.87608776573631775</v>
      </c>
      <c r="W85" s="2">
        <f t="shared" si="16"/>
        <v>0.85182587471561422</v>
      </c>
      <c r="X85" s="36">
        <f t="shared" si="13"/>
        <v>1.0284822188910421</v>
      </c>
      <c r="AB85" s="34" t="s">
        <v>188</v>
      </c>
      <c r="AG85" s="2">
        <f t="shared" si="15"/>
        <v>1200</v>
      </c>
      <c r="AH85" s="2">
        <f t="shared" si="14"/>
        <v>971.3773819031245</v>
      </c>
    </row>
    <row r="86" spans="1:34" x14ac:dyDescent="0.2">
      <c r="A86" s="49"/>
      <c r="B86" s="20"/>
      <c r="C86" s="20"/>
      <c r="D86" s="50"/>
      <c r="E86" s="50"/>
      <c r="F86" s="50"/>
      <c r="R86" s="16">
        <v>1.8</v>
      </c>
      <c r="U86" s="2">
        <f t="shared" si="16"/>
        <v>0.87628031325099998</v>
      </c>
      <c r="V86" s="2">
        <f t="shared" si="16"/>
        <v>0.88742837935111862</v>
      </c>
      <c r="W86" s="2">
        <f t="shared" si="16"/>
        <v>0.86383129689007099</v>
      </c>
      <c r="X86" s="36">
        <f t="shared" si="13"/>
        <v>1.0273167718581173</v>
      </c>
      <c r="AG86" s="2">
        <f t="shared" si="15"/>
        <v>1250</v>
      </c>
      <c r="AH86" s="2">
        <f t="shared" si="14"/>
        <v>973.73558209989756</v>
      </c>
    </row>
    <row r="87" spans="1:34" x14ac:dyDescent="0.2">
      <c r="A87" s="49" t="s">
        <v>209</v>
      </c>
      <c r="B87" s="20"/>
      <c r="C87" s="20"/>
      <c r="D87" s="50"/>
      <c r="E87" s="50"/>
      <c r="F87" s="50"/>
      <c r="R87" s="16">
        <v>1.9</v>
      </c>
      <c r="U87" s="2">
        <f t="shared" si="16"/>
        <v>0.88652394965717107</v>
      </c>
      <c r="V87" s="2">
        <f t="shared" si="16"/>
        <v>0.89731570022935214</v>
      </c>
      <c r="W87" s="2">
        <f t="shared" si="16"/>
        <v>0.87442000553493138</v>
      </c>
      <c r="X87" s="36">
        <f t="shared" si="13"/>
        <v>1.0261838642179901</v>
      </c>
      <c r="AG87" s="2">
        <f t="shared" si="15"/>
        <v>1300</v>
      </c>
      <c r="AH87" s="2">
        <f t="shared" si="14"/>
        <v>975.313014874857</v>
      </c>
    </row>
    <row r="88" spans="1:34" x14ac:dyDescent="0.2">
      <c r="A88" s="49" t="s">
        <v>210</v>
      </c>
      <c r="B88" s="20"/>
      <c r="C88" s="20"/>
      <c r="D88" s="50"/>
      <c r="E88" s="50"/>
      <c r="F88" s="50"/>
      <c r="R88" s="16">
        <v>2</v>
      </c>
      <c r="U88" s="2">
        <f t="shared" si="16"/>
        <v>0.89554788495791238</v>
      </c>
      <c r="V88" s="2">
        <f t="shared" si="16"/>
        <v>0.90597719631341311</v>
      </c>
      <c r="W88" s="2">
        <f t="shared" si="16"/>
        <v>0.88379981601607138</v>
      </c>
      <c r="X88" s="36">
        <f t="shared" si="13"/>
        <v>1.0250932166939244</v>
      </c>
      <c r="AG88" s="2">
        <f t="shared" si="15"/>
        <v>1350</v>
      </c>
      <c r="AH88" s="2">
        <f t="shared" si="14"/>
        <v>976.3681815069865</v>
      </c>
    </row>
    <row r="89" spans="1:34" x14ac:dyDescent="0.2">
      <c r="A89" s="49"/>
      <c r="B89" s="20"/>
      <c r="C89" s="20"/>
      <c r="D89" s="50"/>
      <c r="E89" s="50"/>
      <c r="F89" s="50"/>
      <c r="R89" s="16">
        <v>2.5</v>
      </c>
      <c r="U89" s="2">
        <f t="shared" si="16"/>
        <v>0.92772796337900942</v>
      </c>
      <c r="V89" s="2">
        <f t="shared" si="16"/>
        <v>0.93643088489079407</v>
      </c>
      <c r="W89" s="2">
        <f t="shared" si="16"/>
        <v>0.91772474907880719</v>
      </c>
      <c r="X89" s="36">
        <f t="shared" si="13"/>
        <v>1.0203831659010654</v>
      </c>
      <c r="AG89" s="2">
        <f t="shared" ref="AG89:AG93" si="17">AG88+AG88-AG87</f>
        <v>1400</v>
      </c>
      <c r="AH89" s="2">
        <f t="shared" si="14"/>
        <v>977.07399708228945</v>
      </c>
    </row>
    <row r="90" spans="1:34" x14ac:dyDescent="0.2">
      <c r="A90" s="49" t="s">
        <v>174</v>
      </c>
      <c r="B90" s="20"/>
      <c r="C90" s="20"/>
      <c r="D90" s="50"/>
      <c r="E90" s="50"/>
      <c r="F90" s="50"/>
      <c r="U90" s="2">
        <v>0</v>
      </c>
      <c r="V90" s="2">
        <v>0</v>
      </c>
      <c r="AG90" s="2">
        <v>1600</v>
      </c>
      <c r="AH90" s="2">
        <f t="shared" si="14"/>
        <v>978.21450324955492</v>
      </c>
    </row>
    <row r="91" spans="1:34" x14ac:dyDescent="0.2">
      <c r="A91" s="49" t="s">
        <v>46</v>
      </c>
      <c r="B91" s="20"/>
      <c r="C91" s="20"/>
      <c r="D91" s="50"/>
      <c r="E91" s="50"/>
      <c r="F91" s="50"/>
      <c r="U91" s="2">
        <v>1</v>
      </c>
      <c r="V91" s="2">
        <v>1</v>
      </c>
      <c r="AG91" s="2">
        <f t="shared" si="17"/>
        <v>1800</v>
      </c>
      <c r="AH91" s="2">
        <f t="shared" si="14"/>
        <v>978.44284135501937</v>
      </c>
    </row>
    <row r="92" spans="1:34" x14ac:dyDescent="0.2">
      <c r="A92" s="49" t="s">
        <v>211</v>
      </c>
      <c r="B92" s="20"/>
      <c r="C92" s="20"/>
      <c r="D92" s="50"/>
      <c r="E92" s="50"/>
      <c r="F92" s="50"/>
      <c r="U92" s="2">
        <v>2.5</v>
      </c>
      <c r="V92" s="2">
        <v>1</v>
      </c>
      <c r="AG92" s="2">
        <f t="shared" si="17"/>
        <v>2000</v>
      </c>
      <c r="AH92" s="2">
        <f t="shared" si="14"/>
        <v>978.48855639971055</v>
      </c>
    </row>
    <row r="93" spans="1:34" x14ac:dyDescent="0.2">
      <c r="A93" s="49" t="s">
        <v>212</v>
      </c>
      <c r="B93" s="20"/>
      <c r="C93" s="20"/>
      <c r="D93" s="50"/>
      <c r="E93" s="50"/>
      <c r="F93" s="50"/>
      <c r="AG93" s="2">
        <f t="shared" si="17"/>
        <v>2200</v>
      </c>
      <c r="AH93" s="2">
        <f t="shared" si="14"/>
        <v>978.49770890321793</v>
      </c>
    </row>
    <row r="94" spans="1:34" x14ac:dyDescent="0.2">
      <c r="A94" s="49" t="s">
        <v>213</v>
      </c>
      <c r="B94" s="20"/>
      <c r="C94" s="20"/>
      <c r="D94" s="50"/>
      <c r="E94" s="50"/>
      <c r="F94" s="50"/>
    </row>
    <row r="95" spans="1:34" x14ac:dyDescent="0.2">
      <c r="A95" s="49" t="s">
        <v>37</v>
      </c>
      <c r="B95" s="20"/>
      <c r="C95" s="20"/>
      <c r="D95" s="50"/>
      <c r="E95" s="50"/>
      <c r="F95" s="50"/>
      <c r="AE95" s="2">
        <v>1.78</v>
      </c>
    </row>
    <row r="96" spans="1:34" x14ac:dyDescent="0.2">
      <c r="A96" s="49" t="s">
        <v>32</v>
      </c>
      <c r="B96" s="20"/>
      <c r="C96" s="20"/>
      <c r="D96" s="50"/>
      <c r="E96" s="50"/>
      <c r="F96" s="50"/>
      <c r="AE96" s="2">
        <v>1.81</v>
      </c>
    </row>
    <row r="97" spans="1:34" x14ac:dyDescent="0.2">
      <c r="A97" s="49" t="s">
        <v>214</v>
      </c>
      <c r="B97" s="20"/>
      <c r="C97" s="20"/>
      <c r="D97" s="50"/>
      <c r="E97" s="50"/>
      <c r="F97" s="50"/>
      <c r="AE97" s="2">
        <v>1.82</v>
      </c>
      <c r="AG97" s="2">
        <v>600</v>
      </c>
      <c r="AH97" s="2">
        <v>1</v>
      </c>
    </row>
    <row r="98" spans="1:34" x14ac:dyDescent="0.2">
      <c r="A98" s="49" t="s">
        <v>34</v>
      </c>
      <c r="B98" s="20"/>
      <c r="C98" s="20"/>
      <c r="D98" s="50"/>
      <c r="E98" s="50"/>
      <c r="F98" s="50"/>
      <c r="AD98" s="36" t="s">
        <v>28</v>
      </c>
      <c r="AE98" s="2" t="s">
        <v>18</v>
      </c>
      <c r="AF98" s="2" t="s">
        <v>9</v>
      </c>
      <c r="AG98" s="2">
        <f>AG97+250</f>
        <v>850</v>
      </c>
      <c r="AH98" s="2">
        <v>1</v>
      </c>
    </row>
    <row r="99" spans="1:34" x14ac:dyDescent="0.2">
      <c r="A99" s="49" t="s">
        <v>215</v>
      </c>
      <c r="B99" s="20"/>
      <c r="C99" s="20"/>
      <c r="D99" s="50"/>
      <c r="E99" s="50"/>
      <c r="F99" s="50"/>
      <c r="AC99" s="2" t="s">
        <v>192</v>
      </c>
      <c r="AD99" s="36">
        <v>0.26400000000000001</v>
      </c>
      <c r="AG99" s="2">
        <f>AG98+AG98-AG97</f>
        <v>1100</v>
      </c>
      <c r="AH99" s="2">
        <v>1</v>
      </c>
    </row>
    <row r="100" spans="1:34" x14ac:dyDescent="0.2">
      <c r="A100" s="49" t="s">
        <v>216</v>
      </c>
      <c r="B100" s="20"/>
      <c r="C100" s="20"/>
      <c r="D100" s="50"/>
      <c r="E100" s="50"/>
      <c r="F100" s="50"/>
      <c r="AC100" s="2" t="s">
        <v>193</v>
      </c>
      <c r="AD100" s="36">
        <v>2.9270000000000001E-4</v>
      </c>
      <c r="AG100" s="2">
        <f t="shared" ref="AG100:AG104" si="18">AG99+AG99-AG98</f>
        <v>1350</v>
      </c>
      <c r="AH100" s="2">
        <v>1</v>
      </c>
    </row>
    <row r="101" spans="1:34" x14ac:dyDescent="0.2">
      <c r="A101" s="49" t="s">
        <v>217</v>
      </c>
      <c r="B101" s="20"/>
      <c r="C101" s="20"/>
      <c r="D101" s="50"/>
      <c r="E101" s="50"/>
      <c r="F101" s="50"/>
      <c r="AC101" s="2">
        <v>500</v>
      </c>
      <c r="AD101" s="36">
        <f>$AD$99+$AC101*$AD$100</f>
        <v>0.41034999999999999</v>
      </c>
      <c r="AG101" s="2">
        <f t="shared" si="18"/>
        <v>1600</v>
      </c>
      <c r="AH101" s="2">
        <v>1</v>
      </c>
    </row>
    <row r="102" spans="1:34" x14ac:dyDescent="0.2">
      <c r="A102" s="49"/>
      <c r="B102" s="20"/>
      <c r="C102" s="20"/>
      <c r="D102" s="50"/>
      <c r="E102" s="50"/>
      <c r="F102" s="50"/>
      <c r="AC102" s="2">
        <v>2250</v>
      </c>
      <c r="AD102" s="36">
        <f>$AD$99+$AC102*$AD$100</f>
        <v>0.92257500000000003</v>
      </c>
      <c r="AG102" s="2">
        <f t="shared" si="18"/>
        <v>1850</v>
      </c>
      <c r="AH102" s="2">
        <v>1</v>
      </c>
    </row>
    <row r="103" spans="1:34" x14ac:dyDescent="0.2">
      <c r="A103" s="49" t="s">
        <v>218</v>
      </c>
      <c r="B103" s="20"/>
      <c r="C103" s="20"/>
      <c r="D103" s="50"/>
      <c r="E103" s="50"/>
      <c r="F103" s="50"/>
      <c r="AG103" s="2">
        <f t="shared" si="18"/>
        <v>2100</v>
      </c>
      <c r="AH103" s="2">
        <v>1</v>
      </c>
    </row>
    <row r="104" spans="1:34" x14ac:dyDescent="0.2">
      <c r="A104" s="49" t="s">
        <v>219</v>
      </c>
      <c r="B104" s="20"/>
      <c r="C104" s="20"/>
      <c r="D104" s="50"/>
      <c r="E104" s="50"/>
      <c r="F104" s="50"/>
      <c r="AG104" s="2">
        <f t="shared" si="18"/>
        <v>2350</v>
      </c>
      <c r="AH104" s="2">
        <v>1</v>
      </c>
    </row>
    <row r="105" spans="1:34" x14ac:dyDescent="0.2">
      <c r="A105" s="49" t="s">
        <v>40</v>
      </c>
      <c r="B105" s="20"/>
      <c r="C105" s="20"/>
      <c r="D105" s="50"/>
      <c r="E105" s="50"/>
      <c r="F105" s="50"/>
    </row>
    <row r="106" spans="1:34" x14ac:dyDescent="0.2">
      <c r="A106" s="20" t="s">
        <v>41</v>
      </c>
      <c r="B106" s="20"/>
      <c r="C106" s="20"/>
      <c r="D106" s="50"/>
      <c r="E106" s="50"/>
      <c r="F106" s="50"/>
    </row>
    <row r="107" spans="1:34" x14ac:dyDescent="0.2">
      <c r="A107" s="20"/>
      <c r="B107" s="20"/>
      <c r="C107" s="20"/>
      <c r="D107" s="50"/>
      <c r="E107" s="50"/>
      <c r="F107" s="50"/>
    </row>
    <row r="108" spans="1:34" x14ac:dyDescent="0.2">
      <c r="A108" s="20" t="s">
        <v>220</v>
      </c>
      <c r="B108" s="20"/>
      <c r="C108" s="20"/>
      <c r="D108" s="50"/>
      <c r="E108" s="50"/>
      <c r="F108" s="50"/>
    </row>
    <row r="109" spans="1:34" x14ac:dyDescent="0.2">
      <c r="A109" s="20" t="s">
        <v>221</v>
      </c>
      <c r="B109" s="20"/>
      <c r="C109" s="20"/>
      <c r="D109" s="50"/>
      <c r="E109" s="50"/>
      <c r="F109" s="50"/>
    </row>
    <row r="110" spans="1:34" x14ac:dyDescent="0.2">
      <c r="A110" s="20" t="s">
        <v>222</v>
      </c>
      <c r="B110" s="20"/>
      <c r="C110" s="20"/>
      <c r="D110" s="50"/>
      <c r="E110" s="50"/>
      <c r="F110" s="50"/>
    </row>
    <row r="111" spans="1:34" x14ac:dyDescent="0.2">
      <c r="A111" s="20" t="s">
        <v>223</v>
      </c>
      <c r="B111" s="20"/>
      <c r="C111" s="20"/>
      <c r="D111" s="50"/>
      <c r="E111" s="50"/>
      <c r="F111" s="50"/>
    </row>
    <row r="112" spans="1:34" x14ac:dyDescent="0.2">
      <c r="A112" s="20" t="s">
        <v>224</v>
      </c>
      <c r="B112" s="20"/>
      <c r="C112" s="20"/>
      <c r="D112" s="50"/>
      <c r="E112" s="50"/>
      <c r="F112" s="50"/>
    </row>
    <row r="113" spans="1:6" x14ac:dyDescent="0.2">
      <c r="A113" s="20" t="s">
        <v>46</v>
      </c>
      <c r="B113" s="20"/>
      <c r="C113" s="20"/>
      <c r="D113" s="50"/>
      <c r="E113" s="50"/>
      <c r="F113" s="50"/>
    </row>
    <row r="114" spans="1:6" x14ac:dyDescent="0.2">
      <c r="A114" s="20" t="s">
        <v>46</v>
      </c>
      <c r="B114" s="20"/>
      <c r="C114" s="20"/>
      <c r="D114" s="50"/>
      <c r="E114" s="50"/>
      <c r="F114" s="50"/>
    </row>
    <row r="115" spans="1:6" x14ac:dyDescent="0.2">
      <c r="A115" s="20" t="s">
        <v>225</v>
      </c>
      <c r="B115" s="20"/>
      <c r="C115" s="20"/>
      <c r="D115" s="50"/>
      <c r="E115" s="50"/>
      <c r="F115" s="50"/>
    </row>
    <row r="116" spans="1:6" x14ac:dyDescent="0.2">
      <c r="A116" s="20" t="s">
        <v>226</v>
      </c>
      <c r="B116" s="20"/>
      <c r="C116" s="20"/>
      <c r="D116" s="50"/>
      <c r="E116" s="50"/>
      <c r="F116" s="50"/>
    </row>
    <row r="117" spans="1:6" x14ac:dyDescent="0.2">
      <c r="A117" s="20" t="s">
        <v>227</v>
      </c>
      <c r="B117" s="20"/>
      <c r="C117" s="20"/>
      <c r="D117" s="50"/>
      <c r="E117" s="50"/>
      <c r="F117" s="50"/>
    </row>
    <row r="118" spans="1:6" x14ac:dyDescent="0.2">
      <c r="A118" s="20" t="s">
        <v>228</v>
      </c>
      <c r="B118" s="20"/>
      <c r="C118" s="20"/>
      <c r="D118" s="50"/>
      <c r="E118" s="50"/>
      <c r="F118" s="50"/>
    </row>
    <row r="119" spans="1:6" x14ac:dyDescent="0.2">
      <c r="A119" s="20" t="s">
        <v>32</v>
      </c>
      <c r="B119" s="20"/>
      <c r="C119" s="20"/>
      <c r="D119" s="50"/>
      <c r="E119" s="50"/>
      <c r="F119" s="50"/>
    </row>
    <row r="120" spans="1:6" x14ac:dyDescent="0.2">
      <c r="A120" s="20" t="s">
        <v>229</v>
      </c>
      <c r="B120" s="20"/>
      <c r="C120" s="20"/>
      <c r="D120" s="50"/>
      <c r="E120" s="50"/>
      <c r="F120" s="50"/>
    </row>
    <row r="121" spans="1:6" x14ac:dyDescent="0.2">
      <c r="A121" s="20" t="s">
        <v>34</v>
      </c>
      <c r="B121" s="20"/>
      <c r="C121" s="20"/>
      <c r="D121" s="50"/>
      <c r="E121" s="50"/>
      <c r="F121" s="50"/>
    </row>
    <row r="122" spans="1:6" x14ac:dyDescent="0.2">
      <c r="A122" s="20" t="s">
        <v>230</v>
      </c>
      <c r="B122" s="20"/>
      <c r="C122" s="20"/>
      <c r="D122" s="50"/>
      <c r="E122" s="50"/>
      <c r="F122" s="50"/>
    </row>
    <row r="123" spans="1:6" x14ac:dyDescent="0.2">
      <c r="A123" s="20" t="s">
        <v>231</v>
      </c>
      <c r="B123" s="20"/>
      <c r="C123" s="20"/>
      <c r="D123" s="50"/>
      <c r="E123" s="50"/>
      <c r="F123" s="50"/>
    </row>
    <row r="124" spans="1:6" x14ac:dyDescent="0.2">
      <c r="A124" s="20" t="s">
        <v>232</v>
      </c>
      <c r="B124" s="20"/>
      <c r="C124" s="20"/>
      <c r="D124" s="50"/>
      <c r="E124" s="50"/>
      <c r="F124" s="50"/>
    </row>
    <row r="125" spans="1:6" x14ac:dyDescent="0.2">
      <c r="A125" s="20"/>
      <c r="B125" s="20"/>
      <c r="C125" s="20"/>
      <c r="D125" s="50"/>
      <c r="E125" s="50"/>
      <c r="F125" s="50"/>
    </row>
    <row r="126" spans="1:6" x14ac:dyDescent="0.2">
      <c r="A126" s="20" t="s">
        <v>233</v>
      </c>
      <c r="B126" s="20"/>
      <c r="C126" s="20"/>
      <c r="D126" s="50"/>
      <c r="E126" s="50"/>
      <c r="F126" s="50"/>
    </row>
    <row r="127" spans="1:6" x14ac:dyDescent="0.2">
      <c r="A127" s="20" t="s">
        <v>234</v>
      </c>
      <c r="B127" s="20"/>
      <c r="C127" s="20"/>
      <c r="D127" s="50"/>
      <c r="E127" s="50"/>
      <c r="F127" s="50"/>
    </row>
    <row r="128" spans="1:6" x14ac:dyDescent="0.2">
      <c r="A128" s="20" t="s">
        <v>235</v>
      </c>
      <c r="B128" s="20"/>
      <c r="C128" s="20"/>
      <c r="D128" s="50"/>
      <c r="E128" s="50"/>
      <c r="F128" s="50"/>
    </row>
    <row r="129" spans="1:6" x14ac:dyDescent="0.2">
      <c r="A129" s="20" t="s">
        <v>41</v>
      </c>
      <c r="B129" s="20"/>
      <c r="C129" s="20"/>
      <c r="D129" s="50"/>
      <c r="E129" s="50"/>
      <c r="F129" s="50"/>
    </row>
    <row r="130" spans="1:6" x14ac:dyDescent="0.2">
      <c r="A130" s="20"/>
      <c r="B130" s="20"/>
      <c r="C130" s="20"/>
      <c r="D130" s="50"/>
      <c r="E130" s="50"/>
      <c r="F130" s="50"/>
    </row>
    <row r="131" spans="1:6" x14ac:dyDescent="0.2">
      <c r="A131" s="20" t="s">
        <v>220</v>
      </c>
      <c r="B131" s="20"/>
      <c r="C131" s="20"/>
      <c r="D131" s="50"/>
      <c r="E131" s="50"/>
      <c r="F131" s="50"/>
    </row>
    <row r="132" spans="1:6" x14ac:dyDescent="0.2">
      <c r="A132" s="20" t="s">
        <v>236</v>
      </c>
      <c r="B132" s="20"/>
      <c r="C132" s="20"/>
      <c r="D132" s="50"/>
      <c r="E132" s="50"/>
      <c r="F132" s="50"/>
    </row>
    <row r="133" spans="1:6" x14ac:dyDescent="0.2">
      <c r="A133" s="20" t="s">
        <v>222</v>
      </c>
      <c r="B133" s="20"/>
      <c r="C133" s="20"/>
      <c r="D133" s="50"/>
      <c r="E133" s="50"/>
      <c r="F133" s="50"/>
    </row>
    <row r="134" spans="1:6" x14ac:dyDescent="0.2">
      <c r="A134" s="20" t="s">
        <v>223</v>
      </c>
      <c r="B134" s="20"/>
      <c r="C134" s="20"/>
      <c r="D134" s="50"/>
      <c r="E134" s="50"/>
      <c r="F134" s="50"/>
    </row>
    <row r="135" spans="1:6" x14ac:dyDescent="0.2">
      <c r="A135" s="20" t="s">
        <v>237</v>
      </c>
      <c r="B135" s="20"/>
      <c r="C135" s="20"/>
      <c r="D135" s="50"/>
      <c r="E135" s="50"/>
      <c r="F135" s="50"/>
    </row>
    <row r="136" spans="1:6" x14ac:dyDescent="0.2">
      <c r="A136" s="20" t="s">
        <v>46</v>
      </c>
      <c r="B136" s="20"/>
      <c r="C136" s="20"/>
      <c r="D136" s="50"/>
      <c r="E136" s="50"/>
      <c r="F136" s="50"/>
    </row>
    <row r="137" spans="1:6" x14ac:dyDescent="0.2">
      <c r="A137" s="20" t="s">
        <v>238</v>
      </c>
      <c r="B137" s="20"/>
      <c r="C137" s="20"/>
      <c r="D137" s="50"/>
      <c r="E137" s="50"/>
      <c r="F137" s="50"/>
    </row>
    <row r="138" spans="1:6" x14ac:dyDescent="0.2">
      <c r="A138" s="20" t="s">
        <v>239</v>
      </c>
      <c r="B138" s="20"/>
      <c r="C138" s="20"/>
      <c r="D138" s="50"/>
      <c r="E138" s="50"/>
      <c r="F138" s="50"/>
    </row>
    <row r="139" spans="1:6" x14ac:dyDescent="0.2">
      <c r="A139" s="20" t="s">
        <v>240</v>
      </c>
      <c r="B139" s="20"/>
      <c r="C139" s="20"/>
      <c r="D139" s="50"/>
      <c r="E139" s="50"/>
      <c r="F139" s="50"/>
    </row>
    <row r="140" spans="1:6" x14ac:dyDescent="0.2">
      <c r="A140" s="20" t="s">
        <v>241</v>
      </c>
      <c r="B140" s="20"/>
      <c r="C140" s="20"/>
      <c r="D140" s="50"/>
      <c r="E140" s="50"/>
      <c r="F140" s="50"/>
    </row>
    <row r="141" spans="1:6" x14ac:dyDescent="0.2">
      <c r="A141" s="20" t="s">
        <v>32</v>
      </c>
      <c r="B141" s="20"/>
      <c r="C141" s="20"/>
      <c r="D141" s="50"/>
      <c r="E141" s="50"/>
      <c r="F141" s="50"/>
    </row>
    <row r="142" spans="1:6" x14ac:dyDescent="0.2">
      <c r="A142" s="20" t="s">
        <v>242</v>
      </c>
      <c r="B142" s="20"/>
      <c r="C142" s="20"/>
      <c r="D142" s="50"/>
      <c r="E142" s="50"/>
      <c r="F142" s="50"/>
    </row>
    <row r="143" spans="1:6" x14ac:dyDescent="0.2">
      <c r="A143" s="20" t="s">
        <v>34</v>
      </c>
      <c r="B143" s="20"/>
      <c r="C143" s="20"/>
      <c r="D143" s="50"/>
      <c r="E143" s="50"/>
      <c r="F143" s="50"/>
    </row>
    <row r="144" spans="1:6" x14ac:dyDescent="0.2">
      <c r="A144" s="20" t="s">
        <v>243</v>
      </c>
      <c r="B144" s="20"/>
      <c r="C144" s="20"/>
      <c r="D144" s="50"/>
      <c r="E144" s="50"/>
      <c r="F144" s="50"/>
    </row>
    <row r="145" spans="1:6" x14ac:dyDescent="0.2">
      <c r="A145" s="20" t="s">
        <v>244</v>
      </c>
      <c r="B145" s="20"/>
      <c r="C145" s="20"/>
      <c r="D145" s="50"/>
      <c r="E145" s="50"/>
      <c r="F145" s="50"/>
    </row>
    <row r="146" spans="1:6" x14ac:dyDescent="0.2">
      <c r="A146" s="20" t="s">
        <v>245</v>
      </c>
      <c r="B146" s="20"/>
      <c r="C146" s="20"/>
      <c r="D146" s="50"/>
      <c r="E146" s="50"/>
      <c r="F146" s="50"/>
    </row>
    <row r="147" spans="1:6" x14ac:dyDescent="0.2">
      <c r="A147" s="20"/>
      <c r="B147" s="20"/>
      <c r="C147" s="20"/>
      <c r="D147" s="50"/>
      <c r="E147" s="50"/>
      <c r="F147" s="50"/>
    </row>
    <row r="148" spans="1:6" x14ac:dyDescent="0.2">
      <c r="A148" s="20" t="s">
        <v>233</v>
      </c>
      <c r="B148" s="20"/>
      <c r="C148" s="20"/>
      <c r="D148" s="50"/>
      <c r="E148" s="50"/>
      <c r="F148" s="50"/>
    </row>
    <row r="149" spans="1:6" x14ac:dyDescent="0.2">
      <c r="A149" s="20" t="s">
        <v>246</v>
      </c>
      <c r="B149" s="20"/>
      <c r="C149" s="20"/>
      <c r="D149" s="50"/>
      <c r="E149" s="50"/>
      <c r="F149" s="50"/>
    </row>
    <row r="150" spans="1:6" x14ac:dyDescent="0.2">
      <c r="A150" s="20" t="s">
        <v>247</v>
      </c>
      <c r="B150" s="20"/>
      <c r="C150" s="20"/>
      <c r="D150" s="50"/>
      <c r="E150" s="50"/>
      <c r="F150" s="50"/>
    </row>
    <row r="151" spans="1:6" x14ac:dyDescent="0.2">
      <c r="A151" s="20" t="s">
        <v>41</v>
      </c>
      <c r="B151" s="20"/>
      <c r="C151" s="20"/>
      <c r="D151" s="50"/>
      <c r="E151" s="50"/>
      <c r="F151" s="50"/>
    </row>
    <row r="152" spans="1:6" x14ac:dyDescent="0.2">
      <c r="A152" s="20"/>
      <c r="B152" s="20"/>
      <c r="C152" s="20"/>
      <c r="D152" s="50"/>
      <c r="E152" s="50"/>
      <c r="F152" s="50"/>
    </row>
    <row r="153" spans="1:6" x14ac:dyDescent="0.2">
      <c r="A153" s="20" t="s">
        <v>220</v>
      </c>
      <c r="B153" s="20"/>
      <c r="C153" s="20"/>
      <c r="D153" s="50"/>
      <c r="E153" s="50"/>
      <c r="F153" s="50"/>
    </row>
    <row r="154" spans="1:6" x14ac:dyDescent="0.2">
      <c r="A154" s="20" t="s">
        <v>248</v>
      </c>
      <c r="B154" s="20"/>
      <c r="C154" s="20"/>
      <c r="D154" s="50"/>
      <c r="E154" s="50"/>
      <c r="F154" s="50"/>
    </row>
    <row r="155" spans="1:6" x14ac:dyDescent="0.2">
      <c r="A155" s="20" t="s">
        <v>222</v>
      </c>
      <c r="B155" s="20"/>
      <c r="C155" s="20"/>
      <c r="D155" s="50"/>
      <c r="E155" s="50"/>
      <c r="F155" s="50"/>
    </row>
    <row r="156" spans="1:6" x14ac:dyDescent="0.2">
      <c r="A156" s="20" t="s">
        <v>223</v>
      </c>
      <c r="B156" s="20"/>
      <c r="C156" s="20"/>
      <c r="D156" s="50"/>
      <c r="E156" s="50"/>
      <c r="F156" s="50"/>
    </row>
    <row r="157" spans="1:6" x14ac:dyDescent="0.2">
      <c r="A157" s="20" t="s">
        <v>249</v>
      </c>
      <c r="B157" s="20"/>
      <c r="C157" s="20"/>
      <c r="D157" s="50"/>
      <c r="E157" s="50"/>
      <c r="F157" s="50"/>
    </row>
    <row r="158" spans="1:6" x14ac:dyDescent="0.2">
      <c r="A158" s="27" t="s">
        <v>46</v>
      </c>
      <c r="B158" s="27"/>
      <c r="C158" s="27"/>
      <c r="D158" s="51"/>
      <c r="E158" s="51"/>
      <c r="F158" s="51"/>
    </row>
    <row r="159" spans="1:6" x14ac:dyDescent="0.2">
      <c r="A159" s="27" t="s">
        <v>250</v>
      </c>
      <c r="B159" s="27"/>
      <c r="C159" s="27"/>
      <c r="D159" s="51"/>
      <c r="E159" s="51"/>
      <c r="F159" s="51"/>
    </row>
    <row r="160" spans="1:6" x14ac:dyDescent="0.2">
      <c r="A160" s="27" t="s">
        <v>251</v>
      </c>
      <c r="B160" s="27"/>
      <c r="C160" s="27"/>
      <c r="D160" s="51"/>
      <c r="E160" s="51"/>
      <c r="F160" s="51"/>
    </row>
    <row r="161" spans="1:6" x14ac:dyDescent="0.2">
      <c r="A161" s="27" t="s">
        <v>252</v>
      </c>
      <c r="B161" s="27"/>
      <c r="C161" s="27"/>
      <c r="D161" s="51"/>
      <c r="E161" s="51"/>
      <c r="F161" s="51"/>
    </row>
    <row r="162" spans="1:6" x14ac:dyDescent="0.2">
      <c r="A162" s="27" t="s">
        <v>253</v>
      </c>
      <c r="B162" s="27"/>
      <c r="C162" s="27"/>
      <c r="D162" s="51"/>
      <c r="E162" s="51"/>
      <c r="F162" s="51"/>
    </row>
    <row r="163" spans="1:6" x14ac:dyDescent="0.2">
      <c r="A163" s="27" t="s">
        <v>254</v>
      </c>
      <c r="B163" s="27"/>
      <c r="C163" s="27"/>
      <c r="D163" s="51"/>
      <c r="E163" s="51"/>
      <c r="F163" s="51"/>
    </row>
    <row r="164" spans="1:6" x14ac:dyDescent="0.2">
      <c r="A164" s="27" t="s">
        <v>255</v>
      </c>
      <c r="B164" s="27"/>
      <c r="C164" s="27"/>
      <c r="D164" s="51"/>
      <c r="E164" s="51"/>
      <c r="F164" s="51"/>
    </row>
    <row r="165" spans="1:6" x14ac:dyDescent="0.2">
      <c r="A165" s="27" t="s">
        <v>46</v>
      </c>
      <c r="B165" s="27"/>
      <c r="C165" s="27"/>
      <c r="D165" s="51"/>
      <c r="E165" s="51"/>
      <c r="F165" s="51"/>
    </row>
    <row r="166" spans="1:6" x14ac:dyDescent="0.2">
      <c r="A166" s="27" t="s">
        <v>256</v>
      </c>
      <c r="B166" s="27"/>
      <c r="C166" s="27"/>
      <c r="D166" s="51"/>
      <c r="E166" s="51"/>
      <c r="F166" s="51"/>
    </row>
    <row r="167" spans="1:6" x14ac:dyDescent="0.2">
      <c r="A167" s="27" t="s">
        <v>257</v>
      </c>
      <c r="B167" s="27"/>
      <c r="C167" s="27"/>
      <c r="D167" s="51"/>
      <c r="E167" s="51"/>
      <c r="F167" s="51"/>
    </row>
    <row r="168" spans="1:6" x14ac:dyDescent="0.2">
      <c r="A168" s="27"/>
      <c r="B168" s="27"/>
      <c r="C168" s="27"/>
      <c r="D168" s="51"/>
      <c r="E168" s="51"/>
      <c r="F168" s="51"/>
    </row>
    <row r="169" spans="1:6" x14ac:dyDescent="0.2">
      <c r="A169" s="27" t="s">
        <v>258</v>
      </c>
      <c r="B169" s="27"/>
      <c r="C169" s="27"/>
      <c r="D169" s="51"/>
      <c r="E169" s="51"/>
      <c r="F169" s="51"/>
    </row>
    <row r="170" spans="1:6" x14ac:dyDescent="0.2">
      <c r="A170" s="27" t="s">
        <v>259</v>
      </c>
      <c r="B170" s="27"/>
      <c r="C170" s="27"/>
      <c r="D170" s="51"/>
      <c r="E170" s="51"/>
      <c r="F170" s="51"/>
    </row>
    <row r="171" spans="1:6" x14ac:dyDescent="0.2">
      <c r="A171" s="27"/>
      <c r="B171" s="27"/>
      <c r="C171" s="27"/>
      <c r="D171" s="51"/>
      <c r="E171" s="51"/>
      <c r="F171" s="51"/>
    </row>
    <row r="172" spans="1:6" x14ac:dyDescent="0.2">
      <c r="A172" s="27" t="s">
        <v>260</v>
      </c>
      <c r="B172" s="27"/>
      <c r="C172" s="27"/>
      <c r="D172" s="51"/>
      <c r="E172" s="51"/>
      <c r="F172" s="51"/>
    </row>
    <row r="173" spans="1:6" x14ac:dyDescent="0.2">
      <c r="A173" s="27" t="s">
        <v>261</v>
      </c>
      <c r="B173" s="27"/>
      <c r="C173" s="27"/>
      <c r="D173" s="51"/>
      <c r="E173" s="51"/>
      <c r="F173" s="51"/>
    </row>
    <row r="174" spans="1:6" x14ac:dyDescent="0.2">
      <c r="A174" s="27" t="s">
        <v>262</v>
      </c>
      <c r="B174" s="27"/>
      <c r="C174" s="27"/>
      <c r="D174" s="51"/>
      <c r="E174" s="51"/>
      <c r="F174" s="51"/>
    </row>
    <row r="175" spans="1:6" x14ac:dyDescent="0.2">
      <c r="A175" s="27"/>
      <c r="B175" s="27"/>
      <c r="C175" s="27"/>
      <c r="D175" s="51"/>
      <c r="E175" s="51"/>
      <c r="F175" s="51"/>
    </row>
    <row r="176" spans="1:6" x14ac:dyDescent="0.2">
      <c r="A176" s="27" t="s">
        <v>263</v>
      </c>
      <c r="B176" s="27"/>
      <c r="C176" s="27"/>
      <c r="D176" s="51"/>
      <c r="E176" s="51"/>
      <c r="F176" s="51"/>
    </row>
    <row r="177" spans="1:6" x14ac:dyDescent="0.2">
      <c r="A177" s="27" t="s">
        <v>264</v>
      </c>
      <c r="B177" s="27"/>
      <c r="C177" s="27"/>
      <c r="D177" s="51"/>
      <c r="E177" s="51"/>
      <c r="F177" s="51"/>
    </row>
    <row r="178" spans="1:6" x14ac:dyDescent="0.2">
      <c r="A178" s="27" t="s">
        <v>265</v>
      </c>
      <c r="B178" s="27"/>
      <c r="C178" s="27"/>
      <c r="D178" s="51"/>
      <c r="E178" s="51"/>
      <c r="F178" s="51"/>
    </row>
    <row r="179" spans="1:6" x14ac:dyDescent="0.2">
      <c r="A179" s="27" t="s">
        <v>266</v>
      </c>
      <c r="B179" s="27"/>
      <c r="C179" s="27"/>
      <c r="D179" s="51"/>
      <c r="E179" s="51"/>
      <c r="F179" s="51"/>
    </row>
    <row r="180" spans="1:6" x14ac:dyDescent="0.2">
      <c r="A180" s="27" t="s">
        <v>206</v>
      </c>
      <c r="B180" s="27"/>
      <c r="C180" s="27"/>
      <c r="D180" s="51"/>
      <c r="E180" s="51"/>
      <c r="F180" s="51"/>
    </row>
    <row r="181" spans="1:6" x14ac:dyDescent="0.2">
      <c r="A181" s="27" t="s">
        <v>207</v>
      </c>
      <c r="B181" s="27"/>
      <c r="C181" s="27"/>
      <c r="D181" s="51"/>
      <c r="E181" s="51"/>
      <c r="F181" s="51"/>
    </row>
    <row r="182" spans="1:6" x14ac:dyDescent="0.2">
      <c r="A182" s="27"/>
      <c r="B182" s="27"/>
      <c r="C182" s="27"/>
      <c r="D182" s="51"/>
      <c r="E182" s="51"/>
      <c r="F182" s="51"/>
    </row>
    <row r="183" spans="1:6" x14ac:dyDescent="0.2">
      <c r="A183" s="27" t="s">
        <v>267</v>
      </c>
      <c r="B183" s="27"/>
      <c r="C183" s="27"/>
      <c r="D183" s="51"/>
      <c r="E183" s="51"/>
      <c r="F183" s="51"/>
    </row>
    <row r="184" spans="1:6" x14ac:dyDescent="0.2">
      <c r="A184" s="27" t="s">
        <v>268</v>
      </c>
      <c r="B184" s="27"/>
      <c r="C184" s="27"/>
      <c r="D184" s="51"/>
      <c r="E184" s="51"/>
      <c r="F184" s="51"/>
    </row>
    <row r="185" spans="1:6" x14ac:dyDescent="0.2">
      <c r="A185" s="27" t="s">
        <v>269</v>
      </c>
      <c r="B185" s="27"/>
      <c r="C185" s="27"/>
      <c r="D185" s="51"/>
      <c r="E185" s="51"/>
      <c r="F185" s="51"/>
    </row>
    <row r="186" spans="1:6" x14ac:dyDescent="0.2">
      <c r="A186" s="27"/>
      <c r="B186" s="27"/>
      <c r="C186" s="27"/>
      <c r="D186" s="51"/>
      <c r="E186" s="51"/>
      <c r="F186" s="51"/>
    </row>
    <row r="187" spans="1:6" x14ac:dyDescent="0.2">
      <c r="A187" s="27" t="s">
        <v>270</v>
      </c>
      <c r="B187" s="27"/>
      <c r="C187" s="27"/>
      <c r="D187" s="51"/>
      <c r="E187" s="51"/>
      <c r="F187" s="51"/>
    </row>
    <row r="188" spans="1:6" x14ac:dyDescent="0.2">
      <c r="A188" s="27" t="s">
        <v>271</v>
      </c>
      <c r="B188" s="27"/>
      <c r="C188" s="27"/>
      <c r="D188" s="51"/>
      <c r="E188" s="51"/>
      <c r="F188" s="51"/>
    </row>
    <row r="189" spans="1:6" x14ac:dyDescent="0.2">
      <c r="A189" s="27"/>
      <c r="B189" s="27"/>
      <c r="C189" s="27"/>
      <c r="D189" s="51"/>
      <c r="E189" s="51"/>
      <c r="F189" s="51"/>
    </row>
    <row r="190" spans="1:6" x14ac:dyDescent="0.2">
      <c r="A190" s="27" t="s">
        <v>258</v>
      </c>
      <c r="B190" s="27"/>
      <c r="C190" s="27"/>
      <c r="D190" s="51"/>
      <c r="E190" s="51"/>
      <c r="F190" s="51"/>
    </row>
    <row r="191" spans="1:6" x14ac:dyDescent="0.2">
      <c r="A191" s="27" t="s">
        <v>272</v>
      </c>
      <c r="B191" s="27"/>
      <c r="C191" s="27"/>
      <c r="D191" s="51"/>
      <c r="E191" s="51"/>
      <c r="F191" s="51"/>
    </row>
    <row r="192" spans="1:6" x14ac:dyDescent="0.2">
      <c r="A192" s="27"/>
      <c r="B192" s="27"/>
      <c r="C192" s="27"/>
      <c r="D192" s="51"/>
      <c r="E192" s="51"/>
      <c r="F192" s="51"/>
    </row>
    <row r="193" spans="1:6" x14ac:dyDescent="0.2">
      <c r="A193" s="27" t="s">
        <v>260</v>
      </c>
      <c r="B193" s="27"/>
      <c r="C193" s="27"/>
      <c r="D193" s="51"/>
      <c r="E193" s="51"/>
      <c r="F193" s="51"/>
    </row>
    <row r="194" spans="1:6" x14ac:dyDescent="0.2">
      <c r="A194" s="27" t="s">
        <v>261</v>
      </c>
      <c r="B194" s="27"/>
      <c r="C194" s="27"/>
      <c r="D194" s="51"/>
      <c r="E194" s="51"/>
      <c r="F194" s="51"/>
    </row>
    <row r="195" spans="1:6" x14ac:dyDescent="0.2">
      <c r="A195" s="27" t="s">
        <v>273</v>
      </c>
      <c r="B195" s="27"/>
      <c r="C195" s="27"/>
      <c r="D195" s="51"/>
      <c r="E195" s="51"/>
      <c r="F195" s="51"/>
    </row>
    <row r="196" spans="1:6" x14ac:dyDescent="0.2">
      <c r="A196" s="27"/>
      <c r="B196" s="27"/>
      <c r="C196" s="27"/>
      <c r="D196" s="51"/>
      <c r="E196" s="51"/>
      <c r="F196" s="51"/>
    </row>
    <row r="197" spans="1:6" x14ac:dyDescent="0.2">
      <c r="A197" s="27" t="s">
        <v>263</v>
      </c>
      <c r="B197" s="27"/>
      <c r="C197" s="27"/>
      <c r="D197" s="51"/>
      <c r="E197" s="51"/>
      <c r="F197" s="51"/>
    </row>
    <row r="198" spans="1:6" x14ac:dyDescent="0.2">
      <c r="A198" s="27" t="s">
        <v>274</v>
      </c>
      <c r="B198" s="27"/>
      <c r="C198" s="27"/>
      <c r="D198" s="51"/>
      <c r="E198" s="51"/>
      <c r="F198" s="51"/>
    </row>
    <row r="199" spans="1:6" x14ac:dyDescent="0.2">
      <c r="A199" s="27" t="s">
        <v>275</v>
      </c>
      <c r="B199" s="27"/>
      <c r="C199" s="27"/>
      <c r="D199" s="51"/>
      <c r="E199" s="51"/>
      <c r="F199" s="51"/>
    </row>
    <row r="200" spans="1:6" x14ac:dyDescent="0.2">
      <c r="A200" s="27" t="s">
        <v>276</v>
      </c>
      <c r="B200" s="27"/>
      <c r="C200" s="27"/>
      <c r="D200" s="51"/>
      <c r="E200" s="51"/>
      <c r="F200" s="51"/>
    </row>
    <row r="201" spans="1:6" x14ac:dyDescent="0.2">
      <c r="A201" s="27" t="s">
        <v>277</v>
      </c>
      <c r="B201" s="27"/>
      <c r="C201" s="27"/>
      <c r="D201" s="51"/>
      <c r="E201" s="51"/>
      <c r="F201" s="51"/>
    </row>
    <row r="202" spans="1:6" x14ac:dyDescent="0.2">
      <c r="A202" s="27" t="s">
        <v>206</v>
      </c>
      <c r="B202" s="27"/>
      <c r="C202" s="27"/>
      <c r="D202" s="51"/>
      <c r="E202" s="51"/>
      <c r="F202" s="51"/>
    </row>
    <row r="203" spans="1:6" x14ac:dyDescent="0.2">
      <c r="A203" s="27" t="s">
        <v>207</v>
      </c>
      <c r="B203" s="27"/>
      <c r="C203" s="27"/>
      <c r="D203" s="51"/>
      <c r="E203" s="51"/>
      <c r="F203" s="51"/>
    </row>
    <row r="204" spans="1:6" x14ac:dyDescent="0.2">
      <c r="A204" s="27"/>
      <c r="B204" s="27"/>
      <c r="C204" s="27"/>
      <c r="D204" s="51"/>
      <c r="E204" s="51"/>
      <c r="F204" s="51"/>
    </row>
    <row r="205" spans="1:6" x14ac:dyDescent="0.2">
      <c r="A205" s="27" t="s">
        <v>278</v>
      </c>
      <c r="B205" s="27"/>
      <c r="C205" s="27"/>
      <c r="D205" s="51"/>
      <c r="E205" s="51"/>
      <c r="F205" s="51"/>
    </row>
    <row r="206" spans="1:6" x14ac:dyDescent="0.2">
      <c r="A206" s="27" t="s">
        <v>279</v>
      </c>
      <c r="B206" s="27"/>
      <c r="C206" s="27"/>
      <c r="D206" s="51"/>
      <c r="E206" s="51"/>
      <c r="F206" s="51"/>
    </row>
    <row r="207" spans="1:6" x14ac:dyDescent="0.2">
      <c r="A207" s="27" t="s">
        <v>280</v>
      </c>
      <c r="B207" s="27"/>
      <c r="C207" s="27"/>
      <c r="D207" s="51"/>
      <c r="E207" s="51"/>
      <c r="F207" s="51"/>
    </row>
    <row r="208" spans="1:6" x14ac:dyDescent="0.2">
      <c r="A208" s="27"/>
      <c r="B208" s="27"/>
      <c r="C208" s="27"/>
      <c r="D208" s="51"/>
      <c r="E208" s="51"/>
      <c r="F208" s="51"/>
    </row>
    <row r="209" spans="1:6" x14ac:dyDescent="0.2">
      <c r="A209" s="27" t="s">
        <v>281</v>
      </c>
      <c r="B209" s="27"/>
      <c r="C209" s="27"/>
      <c r="D209" s="51"/>
      <c r="E209" s="51"/>
      <c r="F209" s="51"/>
    </row>
    <row r="210" spans="1:6" x14ac:dyDescent="0.2">
      <c r="A210" s="27" t="s">
        <v>282</v>
      </c>
      <c r="B210" s="27"/>
      <c r="C210" s="27"/>
      <c r="D210" s="51"/>
      <c r="E210" s="51"/>
      <c r="F210" s="51"/>
    </row>
    <row r="211" spans="1:6" x14ac:dyDescent="0.2">
      <c r="A211" s="27"/>
      <c r="B211" s="27"/>
      <c r="C211" s="27"/>
      <c r="D211" s="51"/>
      <c r="E211" s="51"/>
      <c r="F211" s="51"/>
    </row>
    <row r="212" spans="1:6" x14ac:dyDescent="0.2">
      <c r="A212" s="27" t="s">
        <v>258</v>
      </c>
      <c r="B212" s="27"/>
      <c r="C212" s="27"/>
      <c r="D212" s="51"/>
      <c r="E212" s="51"/>
      <c r="F212" s="51"/>
    </row>
    <row r="213" spans="1:6" x14ac:dyDescent="0.2">
      <c r="A213" s="27" t="s">
        <v>283</v>
      </c>
      <c r="B213" s="27"/>
      <c r="C213" s="27"/>
      <c r="D213" s="51"/>
      <c r="E213" s="51"/>
      <c r="F213" s="51"/>
    </row>
    <row r="214" spans="1:6" x14ac:dyDescent="0.2">
      <c r="A214" s="27"/>
      <c r="B214" s="27"/>
      <c r="C214" s="27"/>
      <c r="D214" s="51"/>
      <c r="E214" s="51"/>
      <c r="F214" s="51"/>
    </row>
    <row r="215" spans="1:6" x14ac:dyDescent="0.2">
      <c r="A215" s="27" t="s">
        <v>260</v>
      </c>
      <c r="B215" s="27"/>
      <c r="C215" s="27"/>
      <c r="D215" s="51"/>
      <c r="E215" s="51"/>
      <c r="F215" s="51"/>
    </row>
    <row r="216" spans="1:6" x14ac:dyDescent="0.2">
      <c r="A216" s="27" t="s">
        <v>284</v>
      </c>
      <c r="B216" s="27"/>
      <c r="C216" s="27"/>
      <c r="D216" s="51"/>
      <c r="E216" s="51"/>
      <c r="F216" s="51"/>
    </row>
    <row r="217" spans="1:6" x14ac:dyDescent="0.2">
      <c r="A217" s="27" t="s">
        <v>285</v>
      </c>
      <c r="B217" s="27"/>
      <c r="C217" s="27"/>
      <c r="D217" s="51"/>
      <c r="E217" s="51"/>
      <c r="F217" s="51"/>
    </row>
    <row r="218" spans="1:6" x14ac:dyDescent="0.2">
      <c r="A218" s="27"/>
      <c r="B218" s="27"/>
      <c r="C218" s="27"/>
      <c r="D218" s="51"/>
      <c r="E218" s="51"/>
      <c r="F218" s="51"/>
    </row>
    <row r="219" spans="1:6" x14ac:dyDescent="0.2">
      <c r="A219" s="27" t="s">
        <v>263</v>
      </c>
      <c r="B219" s="27"/>
      <c r="C219" s="27"/>
      <c r="D219" s="51"/>
      <c r="E219" s="51"/>
      <c r="F219" s="51"/>
    </row>
    <row r="220" spans="1:6" x14ac:dyDescent="0.2">
      <c r="A220" s="27" t="s">
        <v>286</v>
      </c>
      <c r="B220" s="27"/>
      <c r="C220" s="27"/>
      <c r="D220" s="51"/>
      <c r="E220" s="51"/>
      <c r="F220" s="51"/>
    </row>
    <row r="221" spans="1:6" x14ac:dyDescent="0.2">
      <c r="A221" s="27" t="s">
        <v>287</v>
      </c>
      <c r="B221" s="27"/>
      <c r="C221" s="27"/>
      <c r="D221" s="51"/>
      <c r="E221" s="51"/>
      <c r="F221" s="51"/>
    </row>
    <row r="222" spans="1:6" x14ac:dyDescent="0.2">
      <c r="A222" s="27" t="s">
        <v>288</v>
      </c>
      <c r="B222" s="27"/>
      <c r="C222" s="27"/>
      <c r="D222" s="51"/>
      <c r="E222" s="51"/>
      <c r="F222" s="51"/>
    </row>
    <row r="223" spans="1:6" x14ac:dyDescent="0.2">
      <c r="A223" s="27" t="s">
        <v>289</v>
      </c>
      <c r="B223" s="27"/>
      <c r="C223" s="27"/>
      <c r="D223" s="51"/>
      <c r="E223" s="51"/>
      <c r="F223" s="51"/>
    </row>
    <row r="224" spans="1:6" x14ac:dyDescent="0.2">
      <c r="A224" s="27" t="s">
        <v>290</v>
      </c>
      <c r="B224" s="27"/>
      <c r="C224" s="27"/>
      <c r="D224" s="51"/>
      <c r="E224" s="51"/>
      <c r="F224" s="51"/>
    </row>
    <row r="225" spans="1:6" x14ac:dyDescent="0.2">
      <c r="A225" s="27" t="s">
        <v>206</v>
      </c>
      <c r="B225" s="27"/>
      <c r="C225" s="27"/>
      <c r="D225" s="51"/>
      <c r="E225" s="51"/>
      <c r="F225" s="51"/>
    </row>
    <row r="226" spans="1:6" x14ac:dyDescent="0.2">
      <c r="A226" s="27" t="s">
        <v>207</v>
      </c>
      <c r="B226" s="27"/>
      <c r="C226" s="27"/>
      <c r="D226" s="51"/>
      <c r="E226" s="51"/>
      <c r="F226" s="51"/>
    </row>
    <row r="227" spans="1:6" x14ac:dyDescent="0.2">
      <c r="A227" s="27"/>
      <c r="B227" s="27"/>
      <c r="C227" s="27"/>
      <c r="D227" s="51"/>
      <c r="E227" s="51"/>
      <c r="F227" s="51"/>
    </row>
    <row r="228" spans="1:6" x14ac:dyDescent="0.2">
      <c r="A228" s="27" t="s">
        <v>291</v>
      </c>
      <c r="B228" s="27"/>
      <c r="C228" s="27"/>
      <c r="D228" s="51"/>
      <c r="E228" s="51"/>
      <c r="F228" s="51"/>
    </row>
    <row r="229" spans="1:6" x14ac:dyDescent="0.2">
      <c r="A229" s="27" t="s">
        <v>292</v>
      </c>
      <c r="B229" s="27"/>
      <c r="C229" s="27"/>
      <c r="D229" s="51"/>
      <c r="E229" s="51"/>
      <c r="F229" s="51"/>
    </row>
    <row r="230" spans="1:6" x14ac:dyDescent="0.2">
      <c r="A230" s="27" t="s">
        <v>293</v>
      </c>
      <c r="B230" s="27"/>
      <c r="C230" s="27"/>
      <c r="D230" s="51"/>
      <c r="E230" s="51"/>
      <c r="F230" s="51"/>
    </row>
    <row r="231" spans="1:6" x14ac:dyDescent="0.2">
      <c r="A231" s="27"/>
      <c r="B231" s="27"/>
      <c r="C231" s="27"/>
      <c r="D231" s="51"/>
      <c r="E231" s="51"/>
      <c r="F231" s="51"/>
    </row>
    <row r="232" spans="1:6" x14ac:dyDescent="0.2">
      <c r="A232" s="27" t="s">
        <v>294</v>
      </c>
      <c r="B232" s="27"/>
      <c r="C232" s="27"/>
      <c r="D232" s="51"/>
      <c r="E232" s="51"/>
      <c r="F232" s="51"/>
    </row>
    <row r="233" spans="1:6" x14ac:dyDescent="0.2">
      <c r="A233" s="27" t="s">
        <v>295</v>
      </c>
      <c r="B233" s="27"/>
      <c r="C233" s="27"/>
      <c r="D233" s="51"/>
      <c r="E233" s="51"/>
      <c r="F233" s="51"/>
    </row>
    <row r="234" spans="1:6" x14ac:dyDescent="0.2">
      <c r="A234" s="27"/>
      <c r="B234" s="27"/>
      <c r="C234" s="27"/>
      <c r="D234" s="51"/>
      <c r="E234" s="51"/>
      <c r="F234" s="51"/>
    </row>
    <row r="235" spans="1:6" x14ac:dyDescent="0.2">
      <c r="A235" s="27" t="s">
        <v>258</v>
      </c>
      <c r="B235" s="27"/>
      <c r="C235" s="27"/>
      <c r="D235" s="51"/>
      <c r="E235" s="51"/>
      <c r="F235" s="51"/>
    </row>
    <row r="236" spans="1:6" x14ac:dyDescent="0.2">
      <c r="A236" s="27" t="s">
        <v>296</v>
      </c>
      <c r="B236" s="27"/>
      <c r="C236" s="27"/>
      <c r="D236" s="51"/>
      <c r="E236" s="51"/>
      <c r="F236" s="51"/>
    </row>
    <row r="237" spans="1:6" x14ac:dyDescent="0.2">
      <c r="A237" s="27"/>
      <c r="B237" s="27"/>
      <c r="C237" s="27"/>
      <c r="D237" s="51"/>
      <c r="E237" s="51"/>
      <c r="F237" s="51"/>
    </row>
    <row r="238" spans="1:6" x14ac:dyDescent="0.2">
      <c r="A238" s="27" t="s">
        <v>260</v>
      </c>
      <c r="B238" s="27"/>
      <c r="C238" s="27"/>
      <c r="D238" s="51"/>
      <c r="E238" s="51"/>
      <c r="F238" s="51"/>
    </row>
    <row r="239" spans="1:6" x14ac:dyDescent="0.2">
      <c r="A239" s="27" t="s">
        <v>261</v>
      </c>
      <c r="B239" s="27"/>
      <c r="C239" s="27"/>
      <c r="D239" s="51"/>
      <c r="E239" s="51"/>
      <c r="F239" s="51"/>
    </row>
    <row r="240" spans="1:6" x14ac:dyDescent="0.2">
      <c r="A240" s="27" t="s">
        <v>297</v>
      </c>
      <c r="B240" s="27"/>
      <c r="C240" s="27"/>
      <c r="D240" s="51"/>
      <c r="E240" s="51"/>
      <c r="F240" s="51"/>
    </row>
    <row r="241" spans="1:6" x14ac:dyDescent="0.2">
      <c r="A241" s="27"/>
      <c r="B241" s="27"/>
      <c r="C241" s="27"/>
      <c r="D241" s="51"/>
      <c r="E241" s="51"/>
      <c r="F241" s="51"/>
    </row>
    <row r="242" spans="1:6" x14ac:dyDescent="0.2">
      <c r="A242" s="27" t="s">
        <v>263</v>
      </c>
      <c r="B242" s="27"/>
      <c r="C242" s="27"/>
      <c r="D242" s="51"/>
      <c r="E242" s="51"/>
      <c r="F242" s="51"/>
    </row>
    <row r="243" spans="1:6" x14ac:dyDescent="0.2">
      <c r="A243" s="27" t="s">
        <v>286</v>
      </c>
      <c r="B243" s="27"/>
      <c r="C243" s="27"/>
      <c r="D243" s="51"/>
      <c r="E243" s="51"/>
      <c r="F243" s="51"/>
    </row>
    <row r="244" spans="1:6" x14ac:dyDescent="0.2">
      <c r="A244" s="27" t="s">
        <v>298</v>
      </c>
      <c r="B244" s="27"/>
      <c r="C244" s="27"/>
      <c r="D244" s="51"/>
      <c r="E244" s="51"/>
      <c r="F244" s="51"/>
    </row>
    <row r="245" spans="1:6" x14ac:dyDescent="0.2">
      <c r="A245" s="27" t="s">
        <v>299</v>
      </c>
      <c r="B245" s="27"/>
      <c r="C245" s="27"/>
      <c r="D245" s="51"/>
      <c r="E245" s="51"/>
      <c r="F245" s="51"/>
    </row>
    <row r="246" spans="1:6" x14ac:dyDescent="0.2">
      <c r="A246" s="27" t="s">
        <v>300</v>
      </c>
      <c r="B246" s="27"/>
      <c r="C246" s="27"/>
      <c r="D246" s="51"/>
      <c r="E246" s="51"/>
      <c r="F246" s="51"/>
    </row>
    <row r="247" spans="1:6" x14ac:dyDescent="0.2">
      <c r="A247" s="27" t="s">
        <v>301</v>
      </c>
      <c r="B247" s="27"/>
      <c r="C247" s="27"/>
      <c r="D247" s="51"/>
      <c r="E247" s="51"/>
      <c r="F247" s="51"/>
    </row>
    <row r="248" spans="1:6" x14ac:dyDescent="0.2">
      <c r="A248" s="27" t="s">
        <v>302</v>
      </c>
      <c r="B248" s="27"/>
      <c r="C248" s="27"/>
      <c r="D248" s="51"/>
      <c r="E248" s="51"/>
      <c r="F248" s="51"/>
    </row>
    <row r="249" spans="1:6" x14ac:dyDescent="0.2">
      <c r="A249" s="27" t="s">
        <v>206</v>
      </c>
      <c r="B249" s="27"/>
      <c r="C249" s="27"/>
      <c r="D249" s="51"/>
      <c r="E249" s="51"/>
      <c r="F249" s="51"/>
    </row>
    <row r="250" spans="1:6" x14ac:dyDescent="0.2">
      <c r="A250" s="27" t="s">
        <v>207</v>
      </c>
      <c r="B250" s="27"/>
      <c r="C250" s="27"/>
      <c r="D250" s="51"/>
      <c r="E250" s="51"/>
      <c r="F250" s="51"/>
    </row>
    <row r="251" spans="1:6" x14ac:dyDescent="0.2">
      <c r="A251" s="27"/>
      <c r="B251" s="27"/>
      <c r="C251" s="27"/>
      <c r="D251" s="51"/>
      <c r="E251" s="51"/>
      <c r="F251" s="51"/>
    </row>
    <row r="252" spans="1:6" x14ac:dyDescent="0.2">
      <c r="A252" s="27" t="s">
        <v>303</v>
      </c>
      <c r="B252" s="27"/>
      <c r="C252" s="27"/>
      <c r="D252" s="51"/>
      <c r="E252" s="51"/>
      <c r="F252" s="51"/>
    </row>
    <row r="253" spans="1:6" x14ac:dyDescent="0.2">
      <c r="A253" s="27" t="s">
        <v>304</v>
      </c>
      <c r="B253" s="27"/>
      <c r="C253" s="27"/>
      <c r="D253" s="51"/>
      <c r="E253" s="51"/>
      <c r="F253" s="51"/>
    </row>
    <row r="254" spans="1:6" x14ac:dyDescent="0.2">
      <c r="A254" s="27" t="s">
        <v>305</v>
      </c>
      <c r="B254" s="27"/>
      <c r="C254" s="27"/>
      <c r="D254" s="51"/>
      <c r="E254" s="51"/>
      <c r="F254" s="51"/>
    </row>
    <row r="255" spans="1:6" x14ac:dyDescent="0.2">
      <c r="A255" s="27"/>
      <c r="B255" s="27"/>
      <c r="C255" s="27"/>
      <c r="D255" s="51"/>
      <c r="E255" s="51"/>
      <c r="F255" s="51"/>
    </row>
    <row r="256" spans="1:6" x14ac:dyDescent="0.2">
      <c r="A256" s="27" t="s">
        <v>306</v>
      </c>
      <c r="B256" s="27"/>
      <c r="C256" s="27"/>
      <c r="D256" s="51"/>
      <c r="E256" s="51"/>
      <c r="F256" s="51"/>
    </row>
    <row r="257" spans="1:6" x14ac:dyDescent="0.2">
      <c r="A257" s="27" t="s">
        <v>307</v>
      </c>
      <c r="B257" s="27"/>
      <c r="C257" s="27"/>
      <c r="D257" s="51"/>
      <c r="E257" s="51"/>
      <c r="F257" s="51"/>
    </row>
    <row r="258" spans="1:6" x14ac:dyDescent="0.2">
      <c r="A258" s="27"/>
      <c r="B258" s="27"/>
      <c r="C258" s="27"/>
      <c r="D258" s="51"/>
      <c r="E258" s="51"/>
      <c r="F258" s="51"/>
    </row>
    <row r="259" spans="1:6" x14ac:dyDescent="0.2">
      <c r="A259" s="27" t="s">
        <v>258</v>
      </c>
      <c r="B259" s="27"/>
      <c r="C259" s="27"/>
      <c r="D259" s="51"/>
      <c r="E259" s="51"/>
      <c r="F259" s="51"/>
    </row>
    <row r="260" spans="1:6" x14ac:dyDescent="0.2">
      <c r="A260" s="27" t="s">
        <v>308</v>
      </c>
      <c r="B260" s="27"/>
      <c r="C260" s="27"/>
      <c r="D260" s="51"/>
      <c r="E260" s="51"/>
      <c r="F260" s="51"/>
    </row>
    <row r="261" spans="1:6" x14ac:dyDescent="0.2">
      <c r="A261" s="27"/>
      <c r="B261" s="27"/>
      <c r="C261" s="27"/>
      <c r="D261" s="51"/>
      <c r="E261" s="51"/>
      <c r="F261" s="51"/>
    </row>
    <row r="262" spans="1:6" x14ac:dyDescent="0.2">
      <c r="A262" s="27" t="s">
        <v>260</v>
      </c>
      <c r="B262" s="27"/>
      <c r="C262" s="27"/>
      <c r="D262" s="51"/>
      <c r="E262" s="51"/>
      <c r="F262" s="51"/>
    </row>
    <row r="263" spans="1:6" x14ac:dyDescent="0.2">
      <c r="A263" s="27" t="s">
        <v>261</v>
      </c>
      <c r="B263" s="27"/>
      <c r="C263" s="27"/>
      <c r="D263" s="51"/>
      <c r="E263" s="51"/>
      <c r="F263" s="51"/>
    </row>
    <row r="264" spans="1:6" x14ac:dyDescent="0.2">
      <c r="A264" s="27" t="s">
        <v>309</v>
      </c>
      <c r="B264" s="27"/>
      <c r="C264" s="27"/>
      <c r="D264" s="51"/>
      <c r="E264" s="51"/>
      <c r="F264" s="51"/>
    </row>
    <row r="265" spans="1:6" x14ac:dyDescent="0.2">
      <c r="A265" s="27"/>
      <c r="B265" s="27"/>
      <c r="C265" s="27"/>
      <c r="D265" s="51"/>
      <c r="E265" s="51"/>
      <c r="F265" s="51"/>
    </row>
    <row r="266" spans="1:6" x14ac:dyDescent="0.2">
      <c r="A266" s="27" t="s">
        <v>263</v>
      </c>
      <c r="B266" s="27"/>
      <c r="C266" s="27"/>
      <c r="D266" s="51"/>
      <c r="E266" s="51"/>
      <c r="F266" s="51"/>
    </row>
    <row r="267" spans="1:6" x14ac:dyDescent="0.2">
      <c r="A267" s="27" t="s">
        <v>274</v>
      </c>
      <c r="B267" s="27"/>
      <c r="C267" s="27"/>
      <c r="D267" s="51"/>
      <c r="E267" s="51"/>
      <c r="F267" s="51"/>
    </row>
    <row r="268" spans="1:6" x14ac:dyDescent="0.2">
      <c r="A268" s="27" t="s">
        <v>310</v>
      </c>
      <c r="B268" s="27"/>
      <c r="C268" s="27"/>
      <c r="D268" s="51"/>
      <c r="E268" s="51"/>
      <c r="F268" s="51"/>
    </row>
    <row r="269" spans="1:6" x14ac:dyDescent="0.2">
      <c r="A269" s="27" t="s">
        <v>311</v>
      </c>
      <c r="B269" s="27"/>
      <c r="C269" s="27"/>
      <c r="D269" s="51"/>
      <c r="E269" s="51"/>
      <c r="F269" s="51"/>
    </row>
    <row r="270" spans="1:6" x14ac:dyDescent="0.2">
      <c r="A270" s="27" t="s">
        <v>312</v>
      </c>
      <c r="B270" s="27"/>
      <c r="C270" s="27"/>
      <c r="D270" s="51"/>
      <c r="E270" s="51"/>
      <c r="F270" s="51"/>
    </row>
    <row r="271" spans="1:6" x14ac:dyDescent="0.2">
      <c r="A271" s="27" t="s">
        <v>313</v>
      </c>
      <c r="B271" s="27"/>
      <c r="C271" s="27"/>
      <c r="D271" s="51"/>
      <c r="E271" s="51"/>
      <c r="F271" s="51"/>
    </row>
    <row r="272" spans="1:6" x14ac:dyDescent="0.2">
      <c r="A272" s="27" t="s">
        <v>314</v>
      </c>
      <c r="B272" s="27"/>
      <c r="C272" s="27"/>
      <c r="D272" s="51"/>
      <c r="E272" s="51"/>
      <c r="F272" s="51"/>
    </row>
    <row r="273" spans="1:6" x14ac:dyDescent="0.2">
      <c r="A273" s="27" t="s">
        <v>315</v>
      </c>
      <c r="B273" s="27"/>
      <c r="C273" s="27"/>
      <c r="D273" s="51"/>
      <c r="E273" s="51"/>
      <c r="F273" s="51"/>
    </row>
    <row r="274" spans="1:6" x14ac:dyDescent="0.2">
      <c r="A274" s="27" t="s">
        <v>206</v>
      </c>
      <c r="B274" s="27"/>
      <c r="C274" s="27"/>
      <c r="D274" s="51"/>
      <c r="E274" s="51"/>
      <c r="F274" s="51"/>
    </row>
    <row r="275" spans="1:6" x14ac:dyDescent="0.2">
      <c r="A275" s="27" t="s">
        <v>207</v>
      </c>
      <c r="B275" s="27"/>
      <c r="C275" s="27"/>
      <c r="D275" s="51"/>
      <c r="E275" s="51"/>
      <c r="F275" s="51"/>
    </row>
    <row r="276" spans="1:6" x14ac:dyDescent="0.2">
      <c r="A276" s="27"/>
      <c r="B276" s="27"/>
      <c r="C276" s="27"/>
      <c r="D276" s="51"/>
      <c r="E276" s="51"/>
      <c r="F276" s="51"/>
    </row>
    <row r="277" spans="1:6" x14ac:dyDescent="0.2">
      <c r="A277" s="27" t="s">
        <v>316</v>
      </c>
      <c r="B277" s="27"/>
      <c r="C277" s="27"/>
      <c r="D277" s="51"/>
      <c r="E277" s="51"/>
      <c r="F277" s="51"/>
    </row>
    <row r="278" spans="1:6" x14ac:dyDescent="0.2">
      <c r="A278" s="27" t="s">
        <v>317</v>
      </c>
      <c r="B278" s="27"/>
      <c r="C278" s="27"/>
      <c r="D278" s="51"/>
      <c r="E278" s="51"/>
      <c r="F278" s="51"/>
    </row>
    <row r="279" spans="1:6" x14ac:dyDescent="0.2">
      <c r="A279" s="27" t="s">
        <v>318</v>
      </c>
      <c r="B279" s="27"/>
      <c r="C279" s="27"/>
      <c r="D279" s="51"/>
      <c r="E279" s="51"/>
      <c r="F279" s="51"/>
    </row>
    <row r="280" spans="1:6" x14ac:dyDescent="0.2">
      <c r="A280" s="27"/>
      <c r="B280" s="27"/>
      <c r="C280" s="27"/>
      <c r="D280" s="51"/>
      <c r="E280" s="51"/>
      <c r="F280" s="51"/>
    </row>
    <row r="281" spans="1:6" x14ac:dyDescent="0.2">
      <c r="A281" s="27" t="s">
        <v>46</v>
      </c>
      <c r="B281" s="27"/>
      <c r="C281" s="27"/>
      <c r="D281" s="51"/>
      <c r="E281" s="51"/>
      <c r="F281" s="51"/>
    </row>
  </sheetData>
  <hyperlinks>
    <hyperlink ref="G33" r:id="rId1" display="http://www.hydroshare.org/resource/4b517deaa07243aa8c46a58646dd4281" xr:uid="{335C5E0A-5705-4A60-AEB8-8EB3DA8FC98A}"/>
    <hyperlink ref="G63" r:id="rId2" display="http://www.hydroshare.org/resource/4b517deaa07243aa8c46a58646dd4281" xr:uid="{79E8B213-B2C7-4FB7-95E4-86A26A96E911}"/>
    <hyperlink ref="G64" r:id="rId3" display="http://www.hydroshare.org/resource/4b517deaa07243aa8c46a58646dd4281" xr:uid="{BC2A8E25-0EB7-4E37-8A7F-ED64BB83D8BE}"/>
    <hyperlink ref="G34" r:id="rId4" display="http://www.hydroshare.org/resource/4b517deaa07243aa8c46a58646dd4281" xr:uid="{8FFA9F63-C048-48FB-B3A2-DE8AC1A041F8}"/>
  </hyperlinks>
  <pageMargins left="0.7" right="0.7" top="0.75" bottom="0.75" header="0.3" footer="0.3"/>
  <pageSetup paperSize="9" orientation="portrait" r:id="rId5"/>
  <drawing r:id="rId6"/>
  <legacy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CBFFB2887E109479714270EF09F4F34" ma:contentTypeVersion="13" ma:contentTypeDescription="Create a new document." ma:contentTypeScope="" ma:versionID="60a83ee45ce8f8cd1839b621538ae693">
  <xsd:schema xmlns:xsd="http://www.w3.org/2001/XMLSchema" xmlns:xs="http://www.w3.org/2001/XMLSchema" xmlns:p="http://schemas.microsoft.com/office/2006/metadata/properties" xmlns:ns3="d731c216-4847-40b9-9cc1-07675d6a1b95" xmlns:ns4="850cd0c5-34cb-451e-bc90-918567b3d760" targetNamespace="http://schemas.microsoft.com/office/2006/metadata/properties" ma:root="true" ma:fieldsID="1d3f5be9ab3de91e1176c52ec245e9f4" ns3:_="" ns4:_="">
    <xsd:import namespace="d731c216-4847-40b9-9cc1-07675d6a1b95"/>
    <xsd:import namespace="850cd0c5-34cb-451e-bc90-918567b3d76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31c216-4847-40b9-9cc1-07675d6a1b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0cd0c5-34cb-451e-bc90-918567b3d76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495944-1860-406B-9C37-066422350450}">
  <ds:schemaRefs>
    <ds:schemaRef ds:uri="http://schemas.microsoft.com/sharepoint/v3/contenttype/forms"/>
  </ds:schemaRefs>
</ds:datastoreItem>
</file>

<file path=customXml/itemProps2.xml><?xml version="1.0" encoding="utf-8"?>
<ds:datastoreItem xmlns:ds="http://schemas.openxmlformats.org/officeDocument/2006/customXml" ds:itemID="{BC69FD94-814F-4A51-AAEF-4790CD20C568}">
  <ds:schemaRefs>
    <ds:schemaRef ds:uri="http://purl.org/dc/terms/"/>
    <ds:schemaRef ds:uri="http://purl.org/dc/dcmitype/"/>
    <ds:schemaRef ds:uri="d731c216-4847-40b9-9cc1-07675d6a1b95"/>
    <ds:schemaRef ds:uri="http://purl.org/dc/elements/1.1/"/>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850cd0c5-34cb-451e-bc90-918567b3d760"/>
    <ds:schemaRef ds:uri="http://schemas.microsoft.com/office/2006/metadata/properties"/>
  </ds:schemaRefs>
</ds:datastoreItem>
</file>

<file path=customXml/itemProps3.xml><?xml version="1.0" encoding="utf-8"?>
<ds:datastoreItem xmlns:ds="http://schemas.openxmlformats.org/officeDocument/2006/customXml" ds:itemID="{538DEEEA-37B2-44BB-B320-03F579AC41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31c216-4847-40b9-9cc1-07675d6a1b95"/>
    <ds:schemaRef ds:uri="850cd0c5-34cb-451e-bc90-918567b3d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VEE vs CWI</vt:lpstr>
      <vt:lpstr>ET and VEE vs 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Don White</cp:lastModifiedBy>
  <dcterms:created xsi:type="dcterms:W3CDTF">2020-03-03T10:07:11Z</dcterms:created>
  <dcterms:modified xsi:type="dcterms:W3CDTF">2022-09-16T05:54:19Z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0x0101006CBFFB2887E109479714270EF09F4F34</vt:lpwstr>
  </property>
</Properties>
</file>